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MARKETING\COMMUNICATIONS\Tiffany Gogowich\CIMS_DICE_Rebate pgm planning\2026 program development\2026 BayerValue East\2026 BV East calculator\2026 BV East calc development drafts\"/>
    </mc:Choice>
  </mc:AlternateContent>
  <xr:revisionPtr revIDLastSave="0" documentId="8_{20267B47-B6A0-4CCD-AF39-B7A04F82B050}" xr6:coauthVersionLast="47" xr6:coauthVersionMax="47" xr10:uidLastSave="{00000000-0000-0000-0000-000000000000}"/>
  <workbookProtection workbookAlgorithmName="SHA-512" workbookHashValue="SeXr4954YsaQ4pZ30R/c0TMpQxS6Yw9gTcrvPd/uuv+2E+HRqMZ42/KtVD00+1e4A596ZLM3Kvsl0wilSqzzZA==" workbookSaltValue="WX8k/CBr9AQQwAjlHpeUNA==" workbookSpinCount="100000" lockStructure="1"/>
  <bookViews>
    <workbookView xWindow="-120" yWindow="-120" windowWidth="25440" windowHeight="15270" tabRatio="657" activeTab="1" xr2:uid="{00000000-000D-0000-FFFF-FFFF00000000}"/>
  </bookViews>
  <sheets>
    <sheet name="Disclaimer" sheetId="8" r:id="rId1"/>
    <sheet name="Purchases" sheetId="1" r:id="rId2"/>
    <sheet name="Rebate_Summary" sheetId="5" r:id="rId3"/>
    <sheet name="Acre Conversion" sheetId="10" r:id="rId4"/>
    <sheet name="Program Rules" sheetId="9" r:id="rId5"/>
    <sheet name="Pkge" sheetId="7" state="hidden" r:id="rId6"/>
  </sheets>
  <definedNames>
    <definedName name="_xlnm._FilterDatabase" localSheetId="5" hidden="1">Pkge!$A$107:$AD$153</definedName>
    <definedName name="_xlnm._FilterDatabase" localSheetId="1" hidden="1">Purchases!#REF!</definedName>
    <definedName name="_xlnm.Print_Area" localSheetId="2">Rebate_Summary!$B$1:$N$56</definedName>
  </definedNames>
  <calcPr calcId="191028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7" l="1"/>
  <c r="D38" i="1" l="1"/>
  <c r="C38" i="1"/>
  <c r="H12" i="1"/>
  <c r="G12" i="1"/>
  <c r="D12" i="1"/>
  <c r="C12" i="1"/>
  <c r="I21" i="5"/>
  <c r="F21" i="5"/>
  <c r="C21" i="5"/>
  <c r="C20" i="5"/>
  <c r="F20" i="5"/>
  <c r="I20" i="5"/>
  <c r="H154" i="7"/>
  <c r="G154" i="7" s="1"/>
  <c r="B17" i="1"/>
  <c r="H160" i="7"/>
  <c r="G160" i="7" s="1"/>
  <c r="D21" i="1" s="1"/>
  <c r="B21" i="1"/>
  <c r="O160" i="7"/>
  <c r="H139" i="7"/>
  <c r="G139" i="7" s="1"/>
  <c r="H14" i="1" s="1"/>
  <c r="F41" i="5"/>
  <c r="H138" i="7"/>
  <c r="I138" i="7" s="1"/>
  <c r="F16" i="5"/>
  <c r="I16" i="5"/>
  <c r="F11" i="5"/>
  <c r="I11" i="5"/>
  <c r="C50" i="1"/>
  <c r="C11" i="5" s="1"/>
  <c r="C55" i="1"/>
  <c r="C16" i="5" s="1"/>
  <c r="I159" i="7"/>
  <c r="H158" i="7"/>
  <c r="J158" i="7" s="1"/>
  <c r="F25" i="1"/>
  <c r="J156" i="7"/>
  <c r="J157" i="7"/>
  <c r="H155" i="7"/>
  <c r="I155" i="7" s="1"/>
  <c r="B22" i="1"/>
  <c r="O159" i="7"/>
  <c r="O155" i="7"/>
  <c r="O156" i="7"/>
  <c r="O157" i="7"/>
  <c r="B23" i="1"/>
  <c r="C59" i="1"/>
  <c r="O154" i="7"/>
  <c r="H136" i="7"/>
  <c r="J136" i="7" s="1"/>
  <c r="N136" i="7" s="1"/>
  <c r="C65" i="1"/>
  <c r="C27" i="5" s="1"/>
  <c r="J32" i="1"/>
  <c r="AB132" i="7"/>
  <c r="AB131" i="7"/>
  <c r="AB145" i="7"/>
  <c r="AB134" i="7"/>
  <c r="AB133" i="7"/>
  <c r="AB126" i="7"/>
  <c r="AB125" i="7"/>
  <c r="AB124" i="7"/>
  <c r="AB123" i="7"/>
  <c r="G50" i="5"/>
  <c r="B99" i="1"/>
  <c r="C66" i="1"/>
  <c r="C28" i="5" s="1"/>
  <c r="B89" i="1"/>
  <c r="C63" i="1"/>
  <c r="B88" i="1" s="1"/>
  <c r="F30" i="1"/>
  <c r="F31" i="1"/>
  <c r="F29" i="1"/>
  <c r="F28" i="1"/>
  <c r="F27" i="1"/>
  <c r="H36" i="5"/>
  <c r="H90" i="1"/>
  <c r="G94" i="1" s="1"/>
  <c r="F19" i="1"/>
  <c r="F18" i="1"/>
  <c r="F21" i="1"/>
  <c r="F20" i="1"/>
  <c r="G49" i="5"/>
  <c r="I146" i="7"/>
  <c r="J30" i="1"/>
  <c r="G149" i="7"/>
  <c r="J150" i="7"/>
  <c r="I151" i="7"/>
  <c r="J152" i="7"/>
  <c r="I153" i="7"/>
  <c r="I148" i="7"/>
  <c r="I147" i="7"/>
  <c r="O153" i="7"/>
  <c r="O152" i="7"/>
  <c r="O151" i="7"/>
  <c r="O150" i="7"/>
  <c r="O149" i="7"/>
  <c r="O148" i="7"/>
  <c r="O147" i="7"/>
  <c r="O146" i="7"/>
  <c r="G7" i="5"/>
  <c r="I5" i="5"/>
  <c r="C64" i="1"/>
  <c r="G146" i="7"/>
  <c r="H145" i="7"/>
  <c r="J145" i="7" s="1"/>
  <c r="N145" i="7" s="1"/>
  <c r="O145" i="7"/>
  <c r="G96" i="1"/>
  <c r="G51" i="5"/>
  <c r="H144" i="7"/>
  <c r="G144" i="7" s="1"/>
  <c r="D20" i="1" s="1"/>
  <c r="B20" i="1"/>
  <c r="O144" i="7"/>
  <c r="J34" i="1"/>
  <c r="R13" i="1"/>
  <c r="AA2" i="1"/>
  <c r="H134" i="7"/>
  <c r="G134" i="7" s="1"/>
  <c r="H31" i="1" s="1"/>
  <c r="H133" i="7"/>
  <c r="J133" i="7" s="1"/>
  <c r="O134" i="7"/>
  <c r="R6" i="1"/>
  <c r="F15" i="1"/>
  <c r="H126" i="7"/>
  <c r="J126" i="7" s="1"/>
  <c r="H125" i="7"/>
  <c r="G125" i="7" s="1"/>
  <c r="H20" i="1" s="1"/>
  <c r="O126" i="7"/>
  <c r="F22" i="5"/>
  <c r="I22" i="5"/>
  <c r="C60" i="1"/>
  <c r="B86" i="1" s="1"/>
  <c r="H143" i="7"/>
  <c r="I143" i="7" s="1"/>
  <c r="M143" i="7" s="1"/>
  <c r="B18" i="1"/>
  <c r="O143" i="7"/>
  <c r="F14" i="1"/>
  <c r="F44" i="5"/>
  <c r="G140" i="7"/>
  <c r="I142" i="7"/>
  <c r="E43" i="1"/>
  <c r="B7" i="5"/>
  <c r="B10" i="1"/>
  <c r="G141" i="7"/>
  <c r="O141" i="7"/>
  <c r="J13" i="1"/>
  <c r="F26" i="1"/>
  <c r="F24" i="1"/>
  <c r="F22" i="1"/>
  <c r="F17" i="1"/>
  <c r="F16" i="1"/>
  <c r="B30" i="1"/>
  <c r="B29" i="1"/>
  <c r="B28" i="1"/>
  <c r="B27" i="1"/>
  <c r="B24" i="1"/>
  <c r="B25" i="1"/>
  <c r="B26" i="1"/>
  <c r="B19" i="1"/>
  <c r="B14" i="1"/>
  <c r="B15" i="1"/>
  <c r="B16" i="1"/>
  <c r="B13" i="1"/>
  <c r="D1" i="1"/>
  <c r="D2" i="5"/>
  <c r="J141" i="7"/>
  <c r="I141" i="7"/>
  <c r="C5" i="5"/>
  <c r="F3" i="5"/>
  <c r="E36" i="5"/>
  <c r="B39" i="5"/>
  <c r="B38" i="5"/>
  <c r="I12" i="5"/>
  <c r="I13" i="5"/>
  <c r="I14" i="5"/>
  <c r="I15" i="5"/>
  <c r="I18" i="5"/>
  <c r="I19" i="5"/>
  <c r="I23" i="5"/>
  <c r="I24" i="5"/>
  <c r="I25" i="5"/>
  <c r="I27" i="5"/>
  <c r="I28" i="5"/>
  <c r="I30" i="5"/>
  <c r="I31" i="5"/>
  <c r="I32" i="5"/>
  <c r="I33" i="5"/>
  <c r="I34" i="5"/>
  <c r="I35" i="5"/>
  <c r="I10" i="5"/>
  <c r="F12" i="5"/>
  <c r="F13" i="5"/>
  <c r="F14" i="5"/>
  <c r="F15" i="5"/>
  <c r="F18" i="5"/>
  <c r="F19" i="5"/>
  <c r="F23" i="5"/>
  <c r="F24" i="5"/>
  <c r="F25" i="5"/>
  <c r="F27" i="5"/>
  <c r="F28" i="5"/>
  <c r="F30" i="5"/>
  <c r="F31" i="5"/>
  <c r="F32" i="5"/>
  <c r="F33" i="5"/>
  <c r="F34" i="5"/>
  <c r="F35" i="5"/>
  <c r="F10" i="5"/>
  <c r="E8" i="5"/>
  <c r="C8" i="5"/>
  <c r="B30" i="5"/>
  <c r="B18" i="5"/>
  <c r="B10" i="5"/>
  <c r="C69" i="1"/>
  <c r="C30" i="5"/>
  <c r="C73" i="1"/>
  <c r="C34" i="5"/>
  <c r="C72" i="1"/>
  <c r="C33" i="5"/>
  <c r="F13" i="1"/>
  <c r="O142" i="7"/>
  <c r="O140" i="7"/>
  <c r="O139" i="7"/>
  <c r="C71" i="1"/>
  <c r="C32" i="5"/>
  <c r="H112" i="7"/>
  <c r="G112" i="7" s="1"/>
  <c r="C61" i="1"/>
  <c r="C23" i="5" s="1"/>
  <c r="H137" i="7"/>
  <c r="G137" i="7" s="1"/>
  <c r="D27" i="1" s="1"/>
  <c r="O137" i="7"/>
  <c r="F43" i="5"/>
  <c r="F42" i="5"/>
  <c r="B5" i="5"/>
  <c r="D8" i="5"/>
  <c r="H8" i="5"/>
  <c r="F8" i="5"/>
  <c r="I8" i="5"/>
  <c r="J8" i="5"/>
  <c r="K8" i="5"/>
  <c r="O109" i="7"/>
  <c r="H108" i="7"/>
  <c r="I108" i="7" s="1"/>
  <c r="B43" i="5"/>
  <c r="G8" i="5"/>
  <c r="C74" i="1"/>
  <c r="C35" i="5" s="1"/>
  <c r="C70" i="1"/>
  <c r="C31" i="5"/>
  <c r="C54" i="1"/>
  <c r="C15" i="5"/>
  <c r="C53" i="1"/>
  <c r="C14" i="5"/>
  <c r="C52" i="1"/>
  <c r="C13" i="5" s="1"/>
  <c r="C51" i="1"/>
  <c r="C12" i="5"/>
  <c r="C49" i="1"/>
  <c r="C10" i="5"/>
  <c r="C62" i="1"/>
  <c r="C24" i="5" s="1"/>
  <c r="C58" i="1"/>
  <c r="C19" i="5"/>
  <c r="C57" i="1"/>
  <c r="C18" i="5" s="1"/>
  <c r="H135" i="7"/>
  <c r="J135" i="7" s="1"/>
  <c r="N135" i="7" s="1"/>
  <c r="H123" i="7"/>
  <c r="I123" i="7" s="1"/>
  <c r="H124" i="7"/>
  <c r="J124" i="7" s="1"/>
  <c r="H127" i="7"/>
  <c r="J127" i="7" s="1"/>
  <c r="H128" i="7"/>
  <c r="J128" i="7" s="1"/>
  <c r="H129" i="7"/>
  <c r="H130" i="7"/>
  <c r="I130" i="7" s="1"/>
  <c r="M130" i="7" s="1"/>
  <c r="AA130" i="7" s="1"/>
  <c r="H131" i="7"/>
  <c r="J131" i="7" s="1"/>
  <c r="H132" i="7"/>
  <c r="G132" i="7" s="1"/>
  <c r="H28" i="1" s="1"/>
  <c r="H122" i="7"/>
  <c r="J122" i="7" s="1"/>
  <c r="N122" i="7" s="1"/>
  <c r="H114" i="7"/>
  <c r="G114" i="7" s="1"/>
  <c r="D26" i="1" s="1"/>
  <c r="H115" i="7"/>
  <c r="J115" i="7" s="1"/>
  <c r="H116" i="7"/>
  <c r="I116" i="7" s="1"/>
  <c r="H117" i="7"/>
  <c r="I117" i="7" s="1"/>
  <c r="M117" i="7" s="1"/>
  <c r="AA117" i="7" s="1"/>
  <c r="H118" i="7"/>
  <c r="I118" i="7" s="1"/>
  <c r="M118" i="7" s="1"/>
  <c r="AA118" i="7" s="1"/>
  <c r="H119" i="7"/>
  <c r="I119" i="7" s="1"/>
  <c r="M119" i="7" s="1"/>
  <c r="AA119" i="7" s="1"/>
  <c r="H120" i="7"/>
  <c r="J120" i="7" s="1"/>
  <c r="H121" i="7"/>
  <c r="J121" i="7" s="1"/>
  <c r="H113" i="7"/>
  <c r="G113" i="7" s="1"/>
  <c r="D25" i="1" s="1"/>
  <c r="H110" i="7"/>
  <c r="G110" i="7" s="1"/>
  <c r="H111" i="7"/>
  <c r="G111" i="7" s="1"/>
  <c r="D16" i="1" s="1"/>
  <c r="H109" i="7"/>
  <c r="J109" i="7" s="1"/>
  <c r="B40" i="1"/>
  <c r="B39" i="1"/>
  <c r="F23" i="1"/>
  <c r="O132" i="7"/>
  <c r="O128" i="7"/>
  <c r="O124" i="7"/>
  <c r="O121" i="7"/>
  <c r="O116" i="7"/>
  <c r="O114" i="7"/>
  <c r="O122" i="7"/>
  <c r="O129" i="7"/>
  <c r="O130" i="7"/>
  <c r="O135" i="7"/>
  <c r="O136" i="7"/>
  <c r="O110" i="7"/>
  <c r="O111" i="7"/>
  <c r="O112" i="7"/>
  <c r="O117" i="7"/>
  <c r="O118" i="7"/>
  <c r="O119" i="7"/>
  <c r="B107" i="7"/>
  <c r="O54" i="7"/>
  <c r="G54" i="7"/>
  <c r="O53" i="7"/>
  <c r="J53" i="7"/>
  <c r="O52" i="7"/>
  <c r="J52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G53" i="7"/>
  <c r="J54" i="7"/>
  <c r="I54" i="7"/>
  <c r="I53" i="7"/>
  <c r="G52" i="7"/>
  <c r="I52" i="7"/>
  <c r="O79" i="7"/>
  <c r="O69" i="7"/>
  <c r="O33" i="7"/>
  <c r="O31" i="7"/>
  <c r="J56" i="7"/>
  <c r="J55" i="7"/>
  <c r="O56" i="7"/>
  <c r="G56" i="7"/>
  <c r="G55" i="7"/>
  <c r="I56" i="7"/>
  <c r="I55" i="7"/>
  <c r="O51" i="7"/>
  <c r="J33" i="7"/>
  <c r="J32" i="7"/>
  <c r="O80" i="7"/>
  <c r="I48" i="7"/>
  <c r="O66" i="7"/>
  <c r="I66" i="7"/>
  <c r="M66" i="7" s="1"/>
  <c r="G80" i="7"/>
  <c r="L80" i="7" s="1"/>
  <c r="I80" i="7"/>
  <c r="M80" i="7" s="1"/>
  <c r="J80" i="7"/>
  <c r="N80" i="7" s="1"/>
  <c r="J66" i="7"/>
  <c r="N66" i="7" s="1"/>
  <c r="G66" i="7"/>
  <c r="L66" i="7" s="1"/>
  <c r="O37" i="7"/>
  <c r="J37" i="7"/>
  <c r="J36" i="7"/>
  <c r="J35" i="7"/>
  <c r="N35" i="7" s="1"/>
  <c r="G32" i="7"/>
  <c r="G33" i="7"/>
  <c r="Q33" i="7" s="1"/>
  <c r="J5" i="7"/>
  <c r="G5" i="7"/>
  <c r="G51" i="7"/>
  <c r="L51" i="7" s="1"/>
  <c r="I51" i="7"/>
  <c r="M51" i="7" s="1"/>
  <c r="J51" i="7"/>
  <c r="N51" i="7" s="1"/>
  <c r="I37" i="7"/>
  <c r="G37" i="7"/>
  <c r="I36" i="7"/>
  <c r="G36" i="7"/>
  <c r="I35" i="7"/>
  <c r="M35" i="7" s="1"/>
  <c r="G35" i="7"/>
  <c r="L35" i="7" s="1"/>
  <c r="I4" i="7"/>
  <c r="G4" i="7"/>
  <c r="J4" i="7"/>
  <c r="I5" i="7"/>
  <c r="H244" i="7"/>
  <c r="H245" i="7"/>
  <c r="H246" i="7"/>
  <c r="H247" i="7"/>
  <c r="H248" i="7"/>
  <c r="J248" i="7" s="1"/>
  <c r="N248" i="7" s="1"/>
  <c r="H249" i="7"/>
  <c r="H250" i="7"/>
  <c r="J250" i="7" s="1"/>
  <c r="N250" i="7" s="1"/>
  <c r="H251" i="7"/>
  <c r="H241" i="7"/>
  <c r="J241" i="7" s="1"/>
  <c r="N241" i="7" s="1"/>
  <c r="H242" i="7"/>
  <c r="H243" i="7"/>
  <c r="H238" i="7"/>
  <c r="J238" i="7" s="1"/>
  <c r="N238" i="7" s="1"/>
  <c r="H239" i="7"/>
  <c r="J239" i="7" s="1"/>
  <c r="N239" i="7" s="1"/>
  <c r="H240" i="7"/>
  <c r="A238" i="7"/>
  <c r="O238" i="7" s="1"/>
  <c r="A245" i="7"/>
  <c r="O245" i="7" s="1"/>
  <c r="E237" i="7"/>
  <c r="A237" i="7"/>
  <c r="O237" i="7" s="1"/>
  <c r="A256" i="7"/>
  <c r="O256" i="7" s="1"/>
  <c r="C256" i="7"/>
  <c r="G256" i="7" s="1"/>
  <c r="L256" i="7" s="1"/>
  <c r="E256" i="7"/>
  <c r="A255" i="7"/>
  <c r="O255" i="7"/>
  <c r="E255" i="7"/>
  <c r="I255" i="7" s="1"/>
  <c r="M255" i="7" s="1"/>
  <c r="C255" i="7"/>
  <c r="G255" i="7" s="1"/>
  <c r="L255" i="7" s="1"/>
  <c r="A254" i="7"/>
  <c r="O254" i="7" s="1"/>
  <c r="C254" i="7"/>
  <c r="G254" i="7" s="1"/>
  <c r="L254" i="7" s="1"/>
  <c r="E254" i="7"/>
  <c r="A253" i="7"/>
  <c r="O253" i="7" s="1"/>
  <c r="C253" i="7"/>
  <c r="G253" i="7" s="1"/>
  <c r="L253" i="7" s="1"/>
  <c r="E253" i="7"/>
  <c r="I253" i="7" s="1"/>
  <c r="M253" i="7" s="1"/>
  <c r="C237" i="7"/>
  <c r="G237" i="7" s="1"/>
  <c r="L237" i="7" s="1"/>
  <c r="A252" i="7"/>
  <c r="O252" i="7" s="1"/>
  <c r="C252" i="7"/>
  <c r="E252" i="7"/>
  <c r="C245" i="7"/>
  <c r="C238" i="7"/>
  <c r="G238" i="7" s="1"/>
  <c r="L238" i="7" s="1"/>
  <c r="A251" i="7"/>
  <c r="O251" i="7" s="1"/>
  <c r="C251" i="7"/>
  <c r="A250" i="7"/>
  <c r="O250" i="7" s="1"/>
  <c r="C250" i="7"/>
  <c r="G250" i="7" s="1"/>
  <c r="A249" i="7"/>
  <c r="O249" i="7" s="1"/>
  <c r="C249" i="7"/>
  <c r="G249" i="7" s="1"/>
  <c r="L249" i="7" s="1"/>
  <c r="A248" i="7"/>
  <c r="O248" i="7" s="1"/>
  <c r="C248" i="7"/>
  <c r="G248" i="7" s="1"/>
  <c r="L248" i="7" s="1"/>
  <c r="A247" i="7"/>
  <c r="O247" i="7" s="1"/>
  <c r="C247" i="7"/>
  <c r="G247" i="7" s="1"/>
  <c r="L247" i="7" s="1"/>
  <c r="A246" i="7"/>
  <c r="O246" i="7" s="1"/>
  <c r="C246" i="7"/>
  <c r="G246" i="7" s="1"/>
  <c r="L246" i="7" s="1"/>
  <c r="A244" i="7"/>
  <c r="O244" i="7" s="1"/>
  <c r="C244" i="7"/>
  <c r="A243" i="7"/>
  <c r="O243" i="7" s="1"/>
  <c r="C243" i="7"/>
  <c r="G243" i="7" s="1"/>
  <c r="L243" i="7" s="1"/>
  <c r="A242" i="7"/>
  <c r="O242" i="7" s="1"/>
  <c r="C242" i="7"/>
  <c r="G242" i="7" s="1"/>
  <c r="L242" i="7" s="1"/>
  <c r="C239" i="7"/>
  <c r="G239" i="7" s="1"/>
  <c r="L239" i="7" s="1"/>
  <c r="C240" i="7"/>
  <c r="J240" i="7" s="1"/>
  <c r="N240" i="7" s="1"/>
  <c r="A241" i="7"/>
  <c r="O241" i="7" s="1"/>
  <c r="C241" i="7"/>
  <c r="G241" i="7" s="1"/>
  <c r="L241" i="7" s="1"/>
  <c r="A239" i="7"/>
  <c r="O239" i="7" s="1"/>
  <c r="A240" i="7"/>
  <c r="O240" i="7" s="1"/>
  <c r="E238" i="7"/>
  <c r="E239" i="7"/>
  <c r="E244" i="7"/>
  <c r="E240" i="7"/>
  <c r="I240" i="7" s="1"/>
  <c r="M240" i="7" s="1"/>
  <c r="E243" i="7"/>
  <c r="E247" i="7"/>
  <c r="E245" i="7"/>
  <c r="E242" i="7"/>
  <c r="E250" i="7"/>
  <c r="E248" i="7"/>
  <c r="I248" i="7" s="1"/>
  <c r="M248" i="7" s="1"/>
  <c r="E251" i="7"/>
  <c r="E246" i="7"/>
  <c r="E241" i="7"/>
  <c r="I241" i="7" s="1"/>
  <c r="M241" i="7" s="1"/>
  <c r="E249" i="7"/>
  <c r="I249" i="7" s="1"/>
  <c r="M249" i="7" s="1"/>
  <c r="J256" i="7"/>
  <c r="N256" i="7" s="1"/>
  <c r="H237" i="7"/>
  <c r="J237" i="7" s="1"/>
  <c r="N237" i="7" s="1"/>
  <c r="G48" i="7"/>
  <c r="L48" i="7" s="1"/>
  <c r="J93" i="7"/>
  <c r="N93" i="7" s="1"/>
  <c r="I92" i="7"/>
  <c r="M92" i="7" s="1"/>
  <c r="O93" i="7"/>
  <c r="O92" i="7"/>
  <c r="G93" i="7"/>
  <c r="L93" i="7" s="1"/>
  <c r="I93" i="7"/>
  <c r="M93" i="7" s="1"/>
  <c r="G92" i="7"/>
  <c r="L92" i="7" s="1"/>
  <c r="J92" i="7"/>
  <c r="N92" i="7" s="1"/>
  <c r="L29" i="7"/>
  <c r="L11" i="7"/>
  <c r="L7" i="7"/>
  <c r="L6" i="7"/>
  <c r="J48" i="7"/>
  <c r="N48" i="7"/>
  <c r="J29" i="7"/>
  <c r="N29" i="7"/>
  <c r="I11" i="7"/>
  <c r="J7" i="7"/>
  <c r="N7" i="7"/>
  <c r="O5" i="7"/>
  <c r="M11" i="7"/>
  <c r="J11" i="7"/>
  <c r="N11" i="7"/>
  <c r="I29" i="7"/>
  <c r="M29" i="7"/>
  <c r="I7" i="7"/>
  <c r="M48" i="7"/>
  <c r="M7" i="7"/>
  <c r="G79" i="7"/>
  <c r="O50" i="7"/>
  <c r="G50" i="7"/>
  <c r="J79" i="7"/>
  <c r="I79" i="7"/>
  <c r="J50" i="7"/>
  <c r="I50" i="7"/>
  <c r="G94" i="7"/>
  <c r="L94" i="7" s="1"/>
  <c r="J100" i="7"/>
  <c r="N100" i="7" s="1"/>
  <c r="G103" i="7"/>
  <c r="L103" i="7" s="1"/>
  <c r="G102" i="7"/>
  <c r="L102" i="7" s="1"/>
  <c r="J96" i="7"/>
  <c r="N96" i="7" s="1"/>
  <c r="G95" i="7"/>
  <c r="L95" i="7" s="1"/>
  <c r="J101" i="7"/>
  <c r="C231" i="7" s="1"/>
  <c r="J99" i="7"/>
  <c r="N99" i="7" s="1"/>
  <c r="J106" i="7"/>
  <c r="N106" i="7" s="1"/>
  <c r="J98" i="7"/>
  <c r="N98" i="7" s="1"/>
  <c r="J105" i="7"/>
  <c r="N105" i="7" s="1"/>
  <c r="J97" i="7"/>
  <c r="N97" i="7" s="1"/>
  <c r="J104" i="7"/>
  <c r="N104" i="7" s="1"/>
  <c r="I106" i="7"/>
  <c r="M106" i="7" s="1"/>
  <c r="I105" i="7"/>
  <c r="M105" i="7" s="1"/>
  <c r="I104" i="7"/>
  <c r="M104" i="7" s="1"/>
  <c r="I99" i="7"/>
  <c r="M99" i="7" s="1"/>
  <c r="I98" i="7"/>
  <c r="M98" i="7" s="1"/>
  <c r="J102" i="7"/>
  <c r="N102" i="7" s="1"/>
  <c r="G99" i="7"/>
  <c r="L99" i="7" s="1"/>
  <c r="I101" i="7"/>
  <c r="M101" i="7" s="1"/>
  <c r="J103" i="7"/>
  <c r="N103" i="7" s="1"/>
  <c r="J95" i="7"/>
  <c r="N95" i="7" s="1"/>
  <c r="G101" i="7"/>
  <c r="L101" i="7" s="1"/>
  <c r="B231" i="7" s="1"/>
  <c r="I100" i="7"/>
  <c r="M100" i="7" s="1"/>
  <c r="J94" i="7"/>
  <c r="N94" i="7" s="1"/>
  <c r="G100" i="7"/>
  <c r="L100" i="7" s="1"/>
  <c r="I103" i="7"/>
  <c r="M103" i="7" s="1"/>
  <c r="G106" i="7"/>
  <c r="L106" i="7" s="1"/>
  <c r="G98" i="7"/>
  <c r="L98" i="7" s="1"/>
  <c r="I97" i="7"/>
  <c r="M97" i="7" s="1"/>
  <c r="I102" i="7"/>
  <c r="M102" i="7" s="1"/>
  <c r="G105" i="7"/>
  <c r="L105" i="7" s="1"/>
  <c r="G97" i="7"/>
  <c r="L97" i="7" s="1"/>
  <c r="I96" i="7"/>
  <c r="M96" i="7" s="1"/>
  <c r="G104" i="7"/>
  <c r="L104" i="7" s="1"/>
  <c r="G96" i="7"/>
  <c r="L96" i="7" s="1"/>
  <c r="I95" i="7"/>
  <c r="M95" i="7" s="1"/>
  <c r="I94" i="7"/>
  <c r="M94" i="7" s="1"/>
  <c r="G83" i="7"/>
  <c r="L83" i="7" s="1"/>
  <c r="J58" i="7"/>
  <c r="J59" i="7"/>
  <c r="N59" i="7" s="1"/>
  <c r="J90" i="7"/>
  <c r="N90" i="7" s="1"/>
  <c r="J91" i="7"/>
  <c r="N91" i="7" s="1"/>
  <c r="J89" i="7"/>
  <c r="N89" i="7" s="1"/>
  <c r="J88" i="7"/>
  <c r="N88" i="7" s="1"/>
  <c r="J87" i="7"/>
  <c r="N87" i="7" s="1"/>
  <c r="J86" i="7"/>
  <c r="N86" i="7" s="1"/>
  <c r="J85" i="7"/>
  <c r="N85" i="7" s="1"/>
  <c r="J84" i="7"/>
  <c r="N84" i="7" s="1"/>
  <c r="J31" i="7"/>
  <c r="J27" i="7"/>
  <c r="G3" i="7"/>
  <c r="A3" i="7"/>
  <c r="H3" i="7" s="1"/>
  <c r="I58" i="7"/>
  <c r="I59" i="7"/>
  <c r="M59" i="7" s="1"/>
  <c r="I31" i="7"/>
  <c r="I27" i="7"/>
  <c r="G59" i="7"/>
  <c r="L59" i="7" s="1"/>
  <c r="G58" i="7"/>
  <c r="G31" i="7"/>
  <c r="G27" i="7"/>
  <c r="J78" i="7"/>
  <c r="G78" i="7"/>
  <c r="I78" i="7"/>
  <c r="J57" i="7"/>
  <c r="G57" i="7"/>
  <c r="I57" i="7"/>
  <c r="J83" i="7"/>
  <c r="N83" i="7" s="1"/>
  <c r="J81" i="7"/>
  <c r="N81" i="7" s="1"/>
  <c r="G82" i="7"/>
  <c r="L82" i="7" s="1"/>
  <c r="J82" i="7"/>
  <c r="N82" i="7" s="1"/>
  <c r="J23" i="7"/>
  <c r="J22" i="7"/>
  <c r="J21" i="7"/>
  <c r="I23" i="7"/>
  <c r="G23" i="7"/>
  <c r="G21" i="7"/>
  <c r="I21" i="7"/>
  <c r="I22" i="7"/>
  <c r="G22" i="7"/>
  <c r="J74" i="7"/>
  <c r="O74" i="7"/>
  <c r="G74" i="7"/>
  <c r="I74" i="7"/>
  <c r="I33" i="7"/>
  <c r="O83" i="7"/>
  <c r="O82" i="7"/>
  <c r="O81" i="7"/>
  <c r="O77" i="7"/>
  <c r="O72" i="7"/>
  <c r="O68" i="7"/>
  <c r="O65" i="7"/>
  <c r="O62" i="7"/>
  <c r="O61" i="7"/>
  <c r="O48" i="7"/>
  <c r="O47" i="7"/>
  <c r="O46" i="7"/>
  <c r="O42" i="7"/>
  <c r="O39" i="7"/>
  <c r="O26" i="7"/>
  <c r="O19" i="7"/>
  <c r="O16" i="7"/>
  <c r="O15" i="7"/>
  <c r="O14" i="7"/>
  <c r="O13" i="7"/>
  <c r="O11" i="7"/>
  <c r="O23" i="7"/>
  <c r="O88" i="7"/>
  <c r="O89" i="7"/>
  <c r="O90" i="7"/>
  <c r="O91" i="7"/>
  <c r="O87" i="7"/>
  <c r="O85" i="7"/>
  <c r="I89" i="7"/>
  <c r="M89" i="7" s="1"/>
  <c r="G89" i="7"/>
  <c r="L89" i="7" s="1"/>
  <c r="G87" i="7"/>
  <c r="L87" i="7" s="1"/>
  <c r="I87" i="7"/>
  <c r="I91" i="7"/>
  <c r="M91" i="7" s="1"/>
  <c r="G91" i="7"/>
  <c r="L91" i="7" s="1"/>
  <c r="G86" i="7"/>
  <c r="L86" i="7" s="1"/>
  <c r="I86" i="7"/>
  <c r="G88" i="7"/>
  <c r="L88" i="7" s="1"/>
  <c r="I88" i="7"/>
  <c r="M88" i="7" s="1"/>
  <c r="G85" i="7"/>
  <c r="L85" i="7" s="1"/>
  <c r="I85" i="7"/>
  <c r="O75" i="7"/>
  <c r="O60" i="7"/>
  <c r="O59" i="7"/>
  <c r="O58" i="7"/>
  <c r="O28" i="7"/>
  <c r="O24" i="7"/>
  <c r="O7" i="7"/>
  <c r="O6" i="7"/>
  <c r="J77" i="7"/>
  <c r="J76" i="7"/>
  <c r="J75" i="7"/>
  <c r="N75" i="7" s="1"/>
  <c r="J71" i="7"/>
  <c r="J72" i="7"/>
  <c r="J73" i="7"/>
  <c r="J70" i="7"/>
  <c r="J62" i="7"/>
  <c r="N62" i="7" s="1"/>
  <c r="J61" i="7"/>
  <c r="N61" i="7" s="1"/>
  <c r="J63" i="7"/>
  <c r="J65" i="7"/>
  <c r="J68" i="7"/>
  <c r="J69" i="7"/>
  <c r="N69" i="7" s="1"/>
  <c r="J60" i="7"/>
  <c r="N60" i="7" s="1"/>
  <c r="J25" i="7"/>
  <c r="J26" i="7"/>
  <c r="N26" i="7" s="1"/>
  <c r="J28" i="7"/>
  <c r="J14" i="7"/>
  <c r="N14" i="7" s="1"/>
  <c r="J24" i="7"/>
  <c r="J64" i="7"/>
  <c r="J49" i="7"/>
  <c r="J67" i="7"/>
  <c r="G24" i="7"/>
  <c r="I24" i="7"/>
  <c r="I49" i="7"/>
  <c r="G49" i="7"/>
  <c r="G68" i="7"/>
  <c r="I68" i="7"/>
  <c r="I65" i="7"/>
  <c r="G65" i="7"/>
  <c r="G72" i="7"/>
  <c r="I72" i="7"/>
  <c r="G75" i="7"/>
  <c r="L75" i="7" s="1"/>
  <c r="I75" i="7"/>
  <c r="M75" i="7" s="1"/>
  <c r="I77" i="7"/>
  <c r="G77" i="7"/>
  <c r="G71" i="7"/>
  <c r="I71" i="7"/>
  <c r="I64" i="7"/>
  <c r="G64" i="7"/>
  <c r="I63" i="7"/>
  <c r="G63" i="7"/>
  <c r="G26" i="7"/>
  <c r="L26" i="7" s="1"/>
  <c r="I26" i="7"/>
  <c r="M26" i="7" s="1"/>
  <c r="G62" i="7"/>
  <c r="L62" i="7" s="1"/>
  <c r="I62" i="7"/>
  <c r="M62" i="7" s="1"/>
  <c r="G73" i="7"/>
  <c r="I73" i="7"/>
  <c r="G67" i="7"/>
  <c r="I67" i="7"/>
  <c r="I14" i="7"/>
  <c r="M14" i="7" s="1"/>
  <c r="G14" i="7"/>
  <c r="L14" i="7" s="1"/>
  <c r="I76" i="7"/>
  <c r="G76" i="7"/>
  <c r="I28" i="7"/>
  <c r="G28" i="7"/>
  <c r="I61" i="7"/>
  <c r="M61" i="7" s="1"/>
  <c r="G61" i="7"/>
  <c r="L61" i="7" s="1"/>
  <c r="G60" i="7"/>
  <c r="L60" i="7" s="1"/>
  <c r="I60" i="7"/>
  <c r="M60" i="7" s="1"/>
  <c r="G25" i="7"/>
  <c r="I25" i="7"/>
  <c r="G69" i="7"/>
  <c r="L69" i="7" s="1"/>
  <c r="I69" i="7"/>
  <c r="M69" i="7" s="1"/>
  <c r="G70" i="7"/>
  <c r="I70" i="7"/>
  <c r="B222" i="7"/>
  <c r="I83" i="7"/>
  <c r="M83" i="7" s="1"/>
  <c r="I82" i="7"/>
  <c r="M82" i="7" s="1"/>
  <c r="I81" i="7"/>
  <c r="M81" i="7" s="1"/>
  <c r="G81" i="7"/>
  <c r="L81" i="7" s="1"/>
  <c r="B219" i="7"/>
  <c r="J45" i="7"/>
  <c r="J46" i="7"/>
  <c r="J47" i="7"/>
  <c r="N47" i="7" s="1"/>
  <c r="J43" i="7"/>
  <c r="J44" i="7"/>
  <c r="J40" i="7"/>
  <c r="J41" i="7"/>
  <c r="J42" i="7"/>
  <c r="J38" i="7"/>
  <c r="J39" i="7"/>
  <c r="J34" i="7"/>
  <c r="N34" i="7" s="1"/>
  <c r="J19" i="7"/>
  <c r="J18" i="7"/>
  <c r="J17" i="7"/>
  <c r="J16" i="7"/>
  <c r="N16" i="7" s="1"/>
  <c r="J15" i="7"/>
  <c r="N15" i="7" s="1"/>
  <c r="J13" i="7"/>
  <c r="J12" i="7"/>
  <c r="J9" i="7"/>
  <c r="J10" i="7"/>
  <c r="J8" i="7"/>
  <c r="J30" i="7"/>
  <c r="J20" i="7"/>
  <c r="G44" i="7"/>
  <c r="I44" i="7"/>
  <c r="G43" i="7"/>
  <c r="I43" i="7"/>
  <c r="I15" i="7"/>
  <c r="M15" i="7" s="1"/>
  <c r="G15" i="7"/>
  <c r="L15" i="7" s="1"/>
  <c r="G16" i="7"/>
  <c r="L16" i="7" s="1"/>
  <c r="I16" i="7"/>
  <c r="M16" i="7" s="1"/>
  <c r="I46" i="7"/>
  <c r="G46" i="7"/>
  <c r="I12" i="7"/>
  <c r="G12" i="7"/>
  <c r="G30" i="7"/>
  <c r="I30" i="7"/>
  <c r="G47" i="7"/>
  <c r="L47" i="7" s="1"/>
  <c r="I47" i="7"/>
  <c r="M47" i="7" s="1"/>
  <c r="G17" i="7"/>
  <c r="I17" i="7"/>
  <c r="I38" i="7"/>
  <c r="G38" i="7"/>
  <c r="I45" i="7"/>
  <c r="G45" i="7"/>
  <c r="G13" i="7"/>
  <c r="I13" i="7"/>
  <c r="I18" i="7"/>
  <c r="G18" i="7"/>
  <c r="I42" i="7"/>
  <c r="G42" i="7"/>
  <c r="G39" i="7"/>
  <c r="I39" i="7"/>
  <c r="I20" i="7"/>
  <c r="G20" i="7"/>
  <c r="I34" i="7"/>
  <c r="M34" i="7" s="1"/>
  <c r="G34" i="7"/>
  <c r="L34" i="7" s="1"/>
  <c r="G8" i="7"/>
  <c r="I8" i="7"/>
  <c r="I10" i="7"/>
  <c r="G10" i="7"/>
  <c r="I9" i="7"/>
  <c r="G9" i="7"/>
  <c r="I41" i="7"/>
  <c r="G41" i="7"/>
  <c r="I19" i="7"/>
  <c r="G19" i="7"/>
  <c r="G40" i="7"/>
  <c r="I40" i="7"/>
  <c r="I6" i="7"/>
  <c r="J6" i="7"/>
  <c r="N6" i="7"/>
  <c r="M6" i="7"/>
  <c r="B215" i="7"/>
  <c r="B217" i="7"/>
  <c r="B223" i="7"/>
  <c r="B214" i="7"/>
  <c r="B216" i="7"/>
  <c r="B221" i="7"/>
  <c r="I84" i="7"/>
  <c r="G84" i="7"/>
  <c r="I90" i="7"/>
  <c r="M90" i="7" s="1"/>
  <c r="G90" i="7"/>
  <c r="L90" i="7" s="1"/>
  <c r="I32" i="7"/>
  <c r="B218" i="7"/>
  <c r="B220" i="7"/>
  <c r="C22" i="5"/>
  <c r="I250" i="7"/>
  <c r="M250" i="7" s="1"/>
  <c r="J249" i="7"/>
  <c r="N249" i="7" s="1"/>
  <c r="J159" i="7"/>
  <c r="I157" i="7"/>
  <c r="G157" i="7"/>
  <c r="B87" i="1"/>
  <c r="C25" i="5"/>
  <c r="J146" i="7"/>
  <c r="J255" i="7"/>
  <c r="N255" i="7" s="1"/>
  <c r="J253" i="7"/>
  <c r="N253" i="7" s="1"/>
  <c r="J153" i="7"/>
  <c r="J149" i="7"/>
  <c r="G153" i="7"/>
  <c r="I152" i="7"/>
  <c r="I149" i="7"/>
  <c r="G150" i="7"/>
  <c r="I150" i="7"/>
  <c r="G148" i="7"/>
  <c r="G151" i="7"/>
  <c r="J151" i="7"/>
  <c r="G152" i="7"/>
  <c r="J148" i="7"/>
  <c r="G147" i="7"/>
  <c r="J147" i="7"/>
  <c r="J154" i="7" l="1"/>
  <c r="N154" i="7" s="1"/>
  <c r="I154" i="7"/>
  <c r="M154" i="7" s="1"/>
  <c r="AA154" i="7" s="1"/>
  <c r="D17" i="1"/>
  <c r="L154" i="7"/>
  <c r="E59" i="1" s="1"/>
  <c r="G120" i="7"/>
  <c r="H15" i="1" s="1"/>
  <c r="I242" i="7"/>
  <c r="M242" i="7" s="1"/>
  <c r="I245" i="7"/>
  <c r="M245" i="7" s="1"/>
  <c r="I244" i="7"/>
  <c r="M244" i="7" s="1"/>
  <c r="J245" i="7"/>
  <c r="N245" i="7" s="1"/>
  <c r="J244" i="7"/>
  <c r="N244" i="7" s="1"/>
  <c r="J242" i="7"/>
  <c r="N242" i="7" s="1"/>
  <c r="I239" i="7"/>
  <c r="M239" i="7" s="1"/>
  <c r="G116" i="7"/>
  <c r="D24" i="1" s="1"/>
  <c r="I247" i="7"/>
  <c r="M247" i="7" s="1"/>
  <c r="G244" i="7"/>
  <c r="L244" i="7" s="1"/>
  <c r="G245" i="7"/>
  <c r="L245" i="7" s="1"/>
  <c r="I246" i="7"/>
  <c r="M246" i="7" s="1"/>
  <c r="J247" i="7"/>
  <c r="N247" i="7" s="1"/>
  <c r="I252" i="7"/>
  <c r="M252" i="7" s="1"/>
  <c r="I238" i="7"/>
  <c r="M238" i="7" s="1"/>
  <c r="G133" i="7"/>
  <c r="H29" i="1" s="1"/>
  <c r="I120" i="7"/>
  <c r="I132" i="7"/>
  <c r="I133" i="7"/>
  <c r="J138" i="7"/>
  <c r="G138" i="7"/>
  <c r="H13" i="1" s="1"/>
  <c r="I251" i="7"/>
  <c r="M251" i="7" s="1"/>
  <c r="I237" i="7"/>
  <c r="M237" i="7" s="1"/>
  <c r="J246" i="7"/>
  <c r="N246" i="7" s="1"/>
  <c r="G145" i="7"/>
  <c r="H30" i="1" s="1"/>
  <c r="I114" i="7"/>
  <c r="J116" i="7"/>
  <c r="N116" i="7" s="1"/>
  <c r="J155" i="7"/>
  <c r="N157" i="7" s="1"/>
  <c r="G155" i="7"/>
  <c r="D22" i="1" s="1"/>
  <c r="L24" i="7"/>
  <c r="L5" i="7"/>
  <c r="N5" i="7"/>
  <c r="L13" i="7"/>
  <c r="J132" i="7"/>
  <c r="L33" i="7"/>
  <c r="G142" i="7"/>
  <c r="J142" i="7"/>
  <c r="J139" i="7"/>
  <c r="L10" i="7"/>
  <c r="N23" i="7"/>
  <c r="L39" i="7"/>
  <c r="L37" i="7"/>
  <c r="Q85" i="7"/>
  <c r="L42" i="7"/>
  <c r="L19" i="7"/>
  <c r="L250" i="7"/>
  <c r="R87" i="7"/>
  <c r="I115" i="7"/>
  <c r="M116" i="7" s="1"/>
  <c r="AA116" i="7" s="1"/>
  <c r="L84" i="7"/>
  <c r="L31" i="7"/>
  <c r="L50" i="7"/>
  <c r="J254" i="7"/>
  <c r="N254" i="7" s="1"/>
  <c r="G240" i="7"/>
  <c r="L240" i="7" s="1"/>
  <c r="G251" i="7"/>
  <c r="L251" i="7" s="1"/>
  <c r="G252" i="7"/>
  <c r="L252" i="7" s="1"/>
  <c r="G115" i="7"/>
  <c r="D23" i="1" s="1"/>
  <c r="J252" i="7"/>
  <c r="N252" i="7" s="1"/>
  <c r="I254" i="7"/>
  <c r="M254" i="7" s="1"/>
  <c r="I243" i="7"/>
  <c r="M243" i="7" s="1"/>
  <c r="L144" i="7"/>
  <c r="I256" i="7"/>
  <c r="M256" i="7" s="1"/>
  <c r="J243" i="7"/>
  <c r="N243" i="7" s="1"/>
  <c r="I127" i="7"/>
  <c r="L160" i="7"/>
  <c r="E69" i="1" s="1"/>
  <c r="J251" i="7"/>
  <c r="N251" i="7" s="1"/>
  <c r="G127" i="7"/>
  <c r="H22" i="1" s="1"/>
  <c r="G159" i="7"/>
  <c r="I160" i="7"/>
  <c r="J160" i="7"/>
  <c r="I144" i="7"/>
  <c r="M144" i="7" s="1"/>
  <c r="J144" i="7"/>
  <c r="N144" i="7" s="1"/>
  <c r="N19" i="7"/>
  <c r="N39" i="7"/>
  <c r="N50" i="7"/>
  <c r="L72" i="7"/>
  <c r="C232" i="7"/>
  <c r="L58" i="7"/>
  <c r="M10" i="7"/>
  <c r="M24" i="7"/>
  <c r="M79" i="7"/>
  <c r="M42" i="7"/>
  <c r="N72" i="7"/>
  <c r="L79" i="7"/>
  <c r="M74" i="7"/>
  <c r="Q87" i="7"/>
  <c r="M33" i="7"/>
  <c r="N68" i="7"/>
  <c r="M56" i="7"/>
  <c r="M65" i="7"/>
  <c r="M72" i="7"/>
  <c r="M87" i="7"/>
  <c r="M58" i="7"/>
  <c r="N65" i="7"/>
  <c r="N77" i="7"/>
  <c r="I136" i="7"/>
  <c r="M136" i="7" s="1"/>
  <c r="G136" i="7"/>
  <c r="D40" i="1" s="1"/>
  <c r="I134" i="7"/>
  <c r="J134" i="7"/>
  <c r="I131" i="7"/>
  <c r="G131" i="7"/>
  <c r="H27" i="1" s="1"/>
  <c r="G128" i="7"/>
  <c r="H23" i="1" s="1"/>
  <c r="I128" i="7"/>
  <c r="G124" i="7"/>
  <c r="H19" i="1" s="1"/>
  <c r="L153" i="7"/>
  <c r="F86" i="1" s="1"/>
  <c r="L23" i="7"/>
  <c r="N10" i="7"/>
  <c r="N24" i="7"/>
  <c r="L74" i="7"/>
  <c r="L28" i="7"/>
  <c r="M37" i="7"/>
  <c r="L56" i="7"/>
  <c r="L46" i="7"/>
  <c r="Q208" i="7" s="1"/>
  <c r="R208" i="7" s="1"/>
  <c r="M5" i="7"/>
  <c r="N13" i="7"/>
  <c r="L77" i="7"/>
  <c r="L65" i="7"/>
  <c r="M68" i="7"/>
  <c r="N28" i="7"/>
  <c r="R33" i="7"/>
  <c r="N56" i="7"/>
  <c r="M39" i="7"/>
  <c r="M77" i="7"/>
  <c r="L68" i="7"/>
  <c r="N31" i="7"/>
  <c r="N54" i="7"/>
  <c r="L54" i="7"/>
  <c r="M19" i="7"/>
  <c r="M28" i="7"/>
  <c r="N37" i="7"/>
  <c r="L137" i="7"/>
  <c r="E61" i="1" s="1"/>
  <c r="D23" i="5" s="1"/>
  <c r="I137" i="7"/>
  <c r="M137" i="7" s="1"/>
  <c r="AA137" i="7" s="1"/>
  <c r="J137" i="7"/>
  <c r="N137" i="7" s="1"/>
  <c r="J113" i="7"/>
  <c r="M153" i="7"/>
  <c r="G87" i="1" s="1"/>
  <c r="K87" i="1" s="1"/>
  <c r="G126" i="7"/>
  <c r="H21" i="1" s="1"/>
  <c r="I140" i="7"/>
  <c r="M142" i="7" s="1"/>
  <c r="J129" i="7"/>
  <c r="N129" i="7" s="1"/>
  <c r="J140" i="7"/>
  <c r="I126" i="7"/>
  <c r="G122" i="7"/>
  <c r="H17" i="1" s="1"/>
  <c r="G129" i="7"/>
  <c r="H24" i="1" s="1"/>
  <c r="I129" i="7"/>
  <c r="M129" i="7" s="1"/>
  <c r="AA129" i="7" s="1"/>
  <c r="I122" i="7"/>
  <c r="M122" i="7" s="1"/>
  <c r="AA122" i="7" s="1"/>
  <c r="I110" i="7"/>
  <c r="M110" i="7" s="1"/>
  <c r="AA110" i="7" s="1"/>
  <c r="G119" i="7"/>
  <c r="D30" i="1" s="1"/>
  <c r="G156" i="7"/>
  <c r="L114" i="7"/>
  <c r="E51" i="1" s="1"/>
  <c r="D12" i="5" s="1"/>
  <c r="J118" i="7"/>
  <c r="N118" i="7" s="1"/>
  <c r="G143" i="7"/>
  <c r="D18" i="1" s="1"/>
  <c r="G118" i="7"/>
  <c r="D29" i="1" s="1"/>
  <c r="I113" i="7"/>
  <c r="J114" i="7"/>
  <c r="J119" i="7"/>
  <c r="N119" i="7" s="1"/>
  <c r="J110" i="7"/>
  <c r="N110" i="7" s="1"/>
  <c r="J143" i="7"/>
  <c r="N143" i="7" s="1"/>
  <c r="I112" i="7"/>
  <c r="M112" i="7" s="1"/>
  <c r="I158" i="7"/>
  <c r="M159" i="7" s="1"/>
  <c r="AA159" i="7" s="1"/>
  <c r="G158" i="7"/>
  <c r="I139" i="7"/>
  <c r="M139" i="7" s="1"/>
  <c r="AA139" i="7" s="1"/>
  <c r="L111" i="7"/>
  <c r="E58" i="1" s="1"/>
  <c r="D19" i="5" s="1"/>
  <c r="I111" i="7"/>
  <c r="M111" i="7" s="1"/>
  <c r="AA111" i="7" s="1"/>
  <c r="J111" i="7"/>
  <c r="N111" i="7" s="1"/>
  <c r="G109" i="7"/>
  <c r="D14" i="1" s="1"/>
  <c r="G108" i="7"/>
  <c r="D13" i="1" s="1"/>
  <c r="J108" i="7"/>
  <c r="N109" i="7" s="1"/>
  <c r="G135" i="7"/>
  <c r="D39" i="1" s="1"/>
  <c r="I135" i="7"/>
  <c r="M135" i="7" s="1"/>
  <c r="N121" i="7"/>
  <c r="G130" i="7"/>
  <c r="J123" i="7"/>
  <c r="G123" i="7"/>
  <c r="H18" i="1" s="1"/>
  <c r="J125" i="7"/>
  <c r="I145" i="7"/>
  <c r="M145" i="7" s="1"/>
  <c r="G121" i="7"/>
  <c r="H16" i="1" s="1"/>
  <c r="I124" i="7"/>
  <c r="N128" i="7"/>
  <c r="L145" i="7"/>
  <c r="I121" i="7"/>
  <c r="I125" i="7"/>
  <c r="J130" i="7"/>
  <c r="N130" i="7" s="1"/>
  <c r="G117" i="7"/>
  <c r="D28" i="1" s="1"/>
  <c r="J112" i="7"/>
  <c r="I109" i="7"/>
  <c r="M109" i="7" s="1"/>
  <c r="AA109" i="7" s="1"/>
  <c r="I156" i="7"/>
  <c r="M157" i="7" s="1"/>
  <c r="AA157" i="7" s="1"/>
  <c r="J117" i="7"/>
  <c r="N117" i="7" s="1"/>
  <c r="M13" i="7"/>
  <c r="N42" i="7"/>
  <c r="N79" i="7"/>
  <c r="N33" i="7"/>
  <c r="M23" i="7"/>
  <c r="N46" i="7"/>
  <c r="N74" i="7"/>
  <c r="C228" i="7"/>
  <c r="M85" i="7"/>
  <c r="M31" i="7"/>
  <c r="N153" i="7"/>
  <c r="M46" i="7"/>
  <c r="M50" i="7"/>
  <c r="N58" i="7"/>
  <c r="N159" i="7"/>
  <c r="L112" i="7"/>
  <c r="D19" i="1"/>
  <c r="AA143" i="7"/>
  <c r="L110" i="7"/>
  <c r="E57" i="1" s="1"/>
  <c r="D18" i="5" s="1"/>
  <c r="D15" i="1"/>
  <c r="B228" i="7"/>
  <c r="B229" i="7"/>
  <c r="B233" i="7"/>
  <c r="B232" i="7"/>
  <c r="C230" i="7"/>
  <c r="C229" i="7"/>
  <c r="M54" i="7"/>
  <c r="B230" i="7"/>
  <c r="C233" i="7"/>
  <c r="R85" i="7"/>
  <c r="N101" i="7"/>
  <c r="D21" i="5" l="1"/>
  <c r="D20" i="5"/>
  <c r="L143" i="7"/>
  <c r="E60" i="1" s="1"/>
  <c r="C86" i="1" s="1"/>
  <c r="L157" i="7"/>
  <c r="E50" i="1" s="1"/>
  <c r="D11" i="5" s="1"/>
  <c r="L139" i="7"/>
  <c r="E72" i="1" s="1"/>
  <c r="D33" i="5" s="1"/>
  <c r="M121" i="7"/>
  <c r="AA121" i="7" s="1"/>
  <c r="N139" i="7"/>
  <c r="M114" i="7"/>
  <c r="AA114" i="7" s="1"/>
  <c r="N134" i="7"/>
  <c r="L142" i="7"/>
  <c r="E64" i="1" s="1"/>
  <c r="N142" i="7"/>
  <c r="M128" i="7"/>
  <c r="AA128" i="7" s="1"/>
  <c r="L116" i="7"/>
  <c r="E52" i="1" s="1"/>
  <c r="D13" i="5" s="1"/>
  <c r="L121" i="7"/>
  <c r="E73" i="1" s="1"/>
  <c r="D34" i="5" s="1"/>
  <c r="L136" i="7"/>
  <c r="D77" i="1" s="1"/>
  <c r="D30" i="5"/>
  <c r="N112" i="7"/>
  <c r="N160" i="7"/>
  <c r="M160" i="7"/>
  <c r="AA160" i="7" s="1"/>
  <c r="S209" i="7"/>
  <c r="S210" i="7" s="1"/>
  <c r="L134" i="7"/>
  <c r="E66" i="1" s="1"/>
  <c r="C89" i="1" s="1"/>
  <c r="L128" i="7"/>
  <c r="E74" i="1" s="1"/>
  <c r="D35" i="5" s="1"/>
  <c r="L118" i="7"/>
  <c r="E70" i="1" s="1"/>
  <c r="D31" i="5" s="1"/>
  <c r="E87" i="1"/>
  <c r="L117" i="7"/>
  <c r="E62" i="1" s="1"/>
  <c r="D24" i="5" s="1"/>
  <c r="C87" i="1"/>
  <c r="M134" i="7"/>
  <c r="L126" i="7"/>
  <c r="E63" i="1" s="1"/>
  <c r="D25" i="5" s="1"/>
  <c r="L109" i="7"/>
  <c r="E49" i="1" s="1"/>
  <c r="D10" i="5" s="1"/>
  <c r="N114" i="7"/>
  <c r="L135" i="7"/>
  <c r="D76" i="1" s="1"/>
  <c r="H25" i="1"/>
  <c r="L159" i="7"/>
  <c r="E55" i="1" s="1"/>
  <c r="D16" i="5" s="1"/>
  <c r="L119" i="7"/>
  <c r="E71" i="1" s="1"/>
  <c r="D32" i="5" s="1"/>
  <c r="L129" i="7"/>
  <c r="E54" i="1" s="1"/>
  <c r="D15" i="5" s="1"/>
  <c r="L122" i="7"/>
  <c r="E53" i="1" s="1"/>
  <c r="D14" i="5" s="1"/>
  <c r="G86" i="1"/>
  <c r="K86" i="1" s="1"/>
  <c r="G88" i="1"/>
  <c r="G89" i="1"/>
  <c r="K89" i="1" s="1"/>
  <c r="M126" i="7"/>
  <c r="AA126" i="7" s="1"/>
  <c r="N126" i="7"/>
  <c r="I210" i="7"/>
  <c r="L130" i="7"/>
  <c r="E65" i="1" s="1"/>
  <c r="D27" i="5" s="1"/>
  <c r="H26" i="1"/>
  <c r="E86" i="1" l="1"/>
  <c r="D22" i="5"/>
  <c r="D42" i="5"/>
  <c r="E89" i="1"/>
  <c r="D28" i="5"/>
  <c r="AA134" i="7"/>
  <c r="D78" i="1"/>
  <c r="B258" i="7"/>
  <c r="D41" i="5"/>
  <c r="K90" i="1"/>
  <c r="M94" i="1" s="1"/>
  <c r="G34" i="1"/>
  <c r="K41" i="5" s="1"/>
  <c r="AC144" i="7" l="1"/>
  <c r="N15" i="1" s="1"/>
  <c r="AC160" i="7"/>
  <c r="F74" i="1"/>
  <c r="I74" i="1" s="1"/>
  <c r="G35" i="5" s="1"/>
  <c r="F63" i="1"/>
  <c r="I63" i="1" s="1"/>
  <c r="G25" i="5" s="1"/>
  <c r="F73" i="1"/>
  <c r="E34" i="5" s="1"/>
  <c r="F62" i="1"/>
  <c r="F53" i="1"/>
  <c r="I53" i="1" s="1"/>
  <c r="G14" i="5" s="1"/>
  <c r="F72" i="1"/>
  <c r="E33" i="5" s="1"/>
  <c r="F61" i="1"/>
  <c r="I61" i="1" s="1"/>
  <c r="F52" i="1"/>
  <c r="E13" i="5" s="1"/>
  <c r="F71" i="1"/>
  <c r="F60" i="1"/>
  <c r="E22" i="5" s="1"/>
  <c r="F51" i="1"/>
  <c r="E12" i="5" s="1"/>
  <c r="F70" i="1"/>
  <c r="E31" i="5" s="1"/>
  <c r="F59" i="1"/>
  <c r="F50" i="1"/>
  <c r="E11" i="5" s="1"/>
  <c r="F66" i="1"/>
  <c r="I66" i="1" s="1"/>
  <c r="G28" i="5" s="1"/>
  <c r="F58" i="1"/>
  <c r="I58" i="1" s="1"/>
  <c r="G19" i="5" s="1"/>
  <c r="F49" i="1"/>
  <c r="E10" i="5" s="1"/>
  <c r="F55" i="1"/>
  <c r="F65" i="1"/>
  <c r="F57" i="1"/>
  <c r="I57" i="1" s="1"/>
  <c r="G18" i="5" s="1"/>
  <c r="F64" i="1"/>
  <c r="F54" i="1"/>
  <c r="F69" i="1"/>
  <c r="N13" i="1"/>
  <c r="D43" i="5"/>
  <c r="J69" i="1" l="1"/>
  <c r="H30" i="5" s="1"/>
  <c r="J55" i="1"/>
  <c r="N55" i="1" s="1"/>
  <c r="J16" i="5" s="1"/>
  <c r="I59" i="1"/>
  <c r="E20" i="5"/>
  <c r="E21" i="5"/>
  <c r="J59" i="1"/>
  <c r="E30" i="5"/>
  <c r="J70" i="1"/>
  <c r="N70" i="1" s="1"/>
  <c r="J31" i="5" s="1"/>
  <c r="J64" i="1"/>
  <c r="J57" i="1"/>
  <c r="I70" i="1"/>
  <c r="G31" i="5" s="1"/>
  <c r="I64" i="1"/>
  <c r="J72" i="1"/>
  <c r="N72" i="1" s="1"/>
  <c r="J33" i="5" s="1"/>
  <c r="J66" i="1"/>
  <c r="N66" i="1" s="1"/>
  <c r="J28" i="5" s="1"/>
  <c r="I60" i="1"/>
  <c r="G22" i="5" s="1"/>
  <c r="J49" i="1"/>
  <c r="H10" i="5" s="1"/>
  <c r="J60" i="1"/>
  <c r="N60" i="1" s="1"/>
  <c r="J22" i="5" s="1"/>
  <c r="I49" i="1"/>
  <c r="G10" i="5" s="1"/>
  <c r="E27" i="5"/>
  <c r="J65" i="1"/>
  <c r="I54" i="1"/>
  <c r="G15" i="5" s="1"/>
  <c r="J54" i="1"/>
  <c r="E14" i="5"/>
  <c r="J53" i="1"/>
  <c r="I62" i="1"/>
  <c r="G24" i="5" s="1"/>
  <c r="J62" i="1"/>
  <c r="I71" i="1"/>
  <c r="G32" i="5" s="1"/>
  <c r="J71" i="1"/>
  <c r="E23" i="5"/>
  <c r="J61" i="1"/>
  <c r="J58" i="1"/>
  <c r="N58" i="1" s="1"/>
  <c r="J19" i="5" s="1"/>
  <c r="E32" i="5"/>
  <c r="E35" i="5"/>
  <c r="J74" i="1"/>
  <c r="N74" i="1" s="1"/>
  <c r="J35" i="5" s="1"/>
  <c r="I73" i="1"/>
  <c r="G34" i="5" s="1"/>
  <c r="J52" i="1"/>
  <c r="N52" i="1" s="1"/>
  <c r="J13" i="5" s="1"/>
  <c r="E28" i="5"/>
  <c r="I52" i="1"/>
  <c r="G13" i="5" s="1"/>
  <c r="J73" i="1"/>
  <c r="N73" i="1" s="1"/>
  <c r="E19" i="5"/>
  <c r="I55" i="1"/>
  <c r="G16" i="5" s="1"/>
  <c r="E16" i="5"/>
  <c r="I50" i="1"/>
  <c r="G11" i="5" s="1"/>
  <c r="E25" i="5"/>
  <c r="J50" i="1"/>
  <c r="H11" i="5" s="1"/>
  <c r="I72" i="1"/>
  <c r="G33" i="5" s="1"/>
  <c r="I69" i="1"/>
  <c r="G30" i="5" s="1"/>
  <c r="J63" i="1"/>
  <c r="H25" i="5" s="1"/>
  <c r="E18" i="5"/>
  <c r="E15" i="5"/>
  <c r="E24" i="5"/>
  <c r="J51" i="1"/>
  <c r="N51" i="1" s="1"/>
  <c r="J12" i="5" s="1"/>
  <c r="I65" i="1"/>
  <c r="G27" i="5" s="1"/>
  <c r="I51" i="1"/>
  <c r="G12" i="5" s="1"/>
  <c r="G23" i="5"/>
  <c r="H16" i="5" l="1"/>
  <c r="G21" i="5"/>
  <c r="G20" i="5"/>
  <c r="H20" i="5"/>
  <c r="H21" i="5"/>
  <c r="N59" i="1"/>
  <c r="N64" i="1"/>
  <c r="H31" i="5"/>
  <c r="O70" i="1"/>
  <c r="E29" i="1" s="1"/>
  <c r="H18" i="5"/>
  <c r="N57" i="1"/>
  <c r="H22" i="5"/>
  <c r="H28" i="5"/>
  <c r="O66" i="1"/>
  <c r="H33" i="5"/>
  <c r="N49" i="1"/>
  <c r="J10" i="5" s="1"/>
  <c r="O55" i="1"/>
  <c r="O60" i="1"/>
  <c r="E18" i="1" s="1"/>
  <c r="H27" i="5"/>
  <c r="N65" i="1"/>
  <c r="J27" i="5" s="1"/>
  <c r="H15" i="5"/>
  <c r="N54" i="1"/>
  <c r="H14" i="5"/>
  <c r="N53" i="1"/>
  <c r="N62" i="1"/>
  <c r="H24" i="5"/>
  <c r="N71" i="1"/>
  <c r="H32" i="5"/>
  <c r="N69" i="1"/>
  <c r="J30" i="5" s="1"/>
  <c r="N61" i="1"/>
  <c r="H23" i="5"/>
  <c r="H12" i="5"/>
  <c r="N50" i="1"/>
  <c r="J11" i="5" s="1"/>
  <c r="H19" i="5"/>
  <c r="O74" i="1"/>
  <c r="O58" i="1"/>
  <c r="H35" i="5"/>
  <c r="H34" i="5"/>
  <c r="J34" i="5"/>
  <c r="O73" i="1"/>
  <c r="O52" i="1"/>
  <c r="H13" i="5"/>
  <c r="N63" i="1"/>
  <c r="J25" i="5" s="1"/>
  <c r="O72" i="1"/>
  <c r="I75" i="1"/>
  <c r="G36" i="5" s="1"/>
  <c r="O51" i="1"/>
  <c r="J21" i="5" l="1"/>
  <c r="J20" i="5"/>
  <c r="O59" i="1"/>
  <c r="O64" i="1"/>
  <c r="K31" i="5"/>
  <c r="O57" i="1"/>
  <c r="J18" i="5"/>
  <c r="I25" i="1"/>
  <c r="I22" i="1"/>
  <c r="I23" i="1"/>
  <c r="I15" i="1"/>
  <c r="I16" i="1"/>
  <c r="I30" i="1"/>
  <c r="I31" i="1"/>
  <c r="I29" i="1"/>
  <c r="I28" i="1"/>
  <c r="I27" i="1"/>
  <c r="I13" i="1"/>
  <c r="I14" i="1"/>
  <c r="E24" i="1"/>
  <c r="E23" i="1"/>
  <c r="E26" i="1"/>
  <c r="E25" i="1"/>
  <c r="K19" i="5"/>
  <c r="E16" i="1"/>
  <c r="K28" i="5"/>
  <c r="K22" i="5"/>
  <c r="O49" i="1"/>
  <c r="K16" i="5"/>
  <c r="O65" i="1"/>
  <c r="I26" i="1" s="1"/>
  <c r="J15" i="5"/>
  <c r="O54" i="1"/>
  <c r="J14" i="5"/>
  <c r="O53" i="1"/>
  <c r="J24" i="5"/>
  <c r="O62" i="1"/>
  <c r="J32" i="5"/>
  <c r="O71" i="1"/>
  <c r="O69" i="1"/>
  <c r="E21" i="1" s="1"/>
  <c r="K34" i="5"/>
  <c r="O50" i="1"/>
  <c r="K13" i="5"/>
  <c r="K35" i="5"/>
  <c r="J23" i="5"/>
  <c r="O61" i="1"/>
  <c r="O63" i="1"/>
  <c r="N75" i="1"/>
  <c r="J36" i="5" s="1"/>
  <c r="K12" i="5"/>
  <c r="K33" i="5"/>
  <c r="K80" i="1"/>
  <c r="K82" i="1" s="1"/>
  <c r="K43" i="5" s="1"/>
  <c r="K21" i="5" l="1"/>
  <c r="K20" i="5"/>
  <c r="E17" i="1"/>
  <c r="E15" i="1"/>
  <c r="K18" i="5"/>
  <c r="I21" i="1"/>
  <c r="I20" i="1"/>
  <c r="I19" i="1"/>
  <c r="I18" i="1"/>
  <c r="E22" i="1"/>
  <c r="E20" i="1"/>
  <c r="E19" i="1"/>
  <c r="K10" i="5"/>
  <c r="E14" i="1"/>
  <c r="E13" i="1"/>
  <c r="K27" i="5"/>
  <c r="K15" i="5"/>
  <c r="I24" i="1"/>
  <c r="I17" i="1"/>
  <c r="K14" i="5"/>
  <c r="K24" i="5"/>
  <c r="E28" i="1"/>
  <c r="K11" i="5"/>
  <c r="E30" i="1"/>
  <c r="K32" i="5"/>
  <c r="K30" i="5"/>
  <c r="E27" i="1"/>
  <c r="K23" i="5"/>
  <c r="O75" i="1"/>
  <c r="K25" i="5"/>
  <c r="K44" i="5"/>
  <c r="K81" i="1"/>
  <c r="K42" i="5" s="1"/>
  <c r="K36" i="5" l="1"/>
  <c r="M95" i="1"/>
  <c r="M50" i="5" s="1"/>
  <c r="M93" i="1"/>
  <c r="M49" i="5" s="1"/>
  <c r="N32" i="1" l="1"/>
  <c r="N30" i="1"/>
  <c r="M96" i="1"/>
  <c r="N34" i="1" s="1"/>
  <c r="J5" i="5" s="1"/>
  <c r="M51" i="5" l="1"/>
</calcChain>
</file>

<file path=xl/sharedStrings.xml><?xml version="1.0" encoding="utf-8"?>
<sst xmlns="http://schemas.openxmlformats.org/spreadsheetml/2006/main" count="1433" uniqueCount="457">
  <si>
    <t>Product</t>
  </si>
  <si>
    <t>Units</t>
  </si>
  <si>
    <t>Acres</t>
  </si>
  <si>
    <t>SRP</t>
  </si>
  <si>
    <t>CONCEPT (5.26 L)</t>
  </si>
  <si>
    <t>DELARO (113.6 L)</t>
  </si>
  <si>
    <t>EVERGOL ENERGY (33.75 L)</t>
  </si>
  <si>
    <t>INFINITY (6.7 L)</t>
  </si>
  <si>
    <t>INFINITY (107.2 L)</t>
  </si>
  <si>
    <t>INFINITY (335 L)</t>
  </si>
  <si>
    <t>OLYMPUS (463G)</t>
  </si>
  <si>
    <t>PARDNER (8 L)</t>
  </si>
  <si>
    <t>PARDNER (128 L)</t>
  </si>
  <si>
    <t>PROLINE (5.1 L)</t>
  </si>
  <si>
    <t>PROSARO XTR (6.5 L)</t>
  </si>
  <si>
    <t>PROSARO XTR (104 L)</t>
  </si>
  <si>
    <t>DELARO (7.1 L)</t>
  </si>
  <si>
    <t>FOLICUR EW (8.1 L)</t>
  </si>
  <si>
    <t>INFINITY FX (13.4L + 6.48L)</t>
  </si>
  <si>
    <t>SENCOR (2.5 KG)</t>
  </si>
  <si>
    <t>RAXIL PRO SHIELD (10L + 1.54L)</t>
  </si>
  <si>
    <t>TUNDRA (8.1 L)</t>
  </si>
  <si>
    <t>TUNDRA (129.6 L)</t>
  </si>
  <si>
    <t>TUNDRA (405 L)</t>
  </si>
  <si>
    <t>VELOCITY M3 (8.1 L)</t>
  </si>
  <si>
    <t>VELOCITY M3 (129.6 L)</t>
  </si>
  <si>
    <t>TRILEX EVERGOL (6.49L + 4.15L)</t>
  </si>
  <si>
    <t>VARRO (8 L)</t>
  </si>
  <si>
    <t>Enter</t>
  </si>
  <si>
    <t>Canola Trait</t>
  </si>
  <si>
    <t>Soybean Trait</t>
  </si>
  <si>
    <t>Corn Trait</t>
  </si>
  <si>
    <t>Date of Calculation:</t>
  </si>
  <si>
    <t>8 L</t>
  </si>
  <si>
    <t>7.1 L</t>
  </si>
  <si>
    <t>33.75 L</t>
  </si>
  <si>
    <t>8.1 L</t>
  </si>
  <si>
    <t>6.7 L</t>
  </si>
  <si>
    <t>463 G</t>
  </si>
  <si>
    <t>5.1 L</t>
  </si>
  <si>
    <t>6.5 L</t>
  </si>
  <si>
    <t>8.25 L</t>
  </si>
  <si>
    <t>10 L</t>
  </si>
  <si>
    <t>2.5 KG</t>
  </si>
  <si>
    <t>27 L</t>
  </si>
  <si>
    <t>Concept</t>
  </si>
  <si>
    <t>Stress Shield + Raxil Pro</t>
  </si>
  <si>
    <t>Stress Shield + Trilex EverGol</t>
  </si>
  <si>
    <t>Acres/Package</t>
  </si>
  <si>
    <t>Herbicide</t>
  </si>
  <si>
    <t>Fungicide</t>
  </si>
  <si>
    <t>Seed Treatment</t>
  </si>
  <si>
    <t>BrandName</t>
  </si>
  <si>
    <t>Package Name</t>
  </si>
  <si>
    <t>Is BaseUnit?</t>
  </si>
  <si>
    <t>Conversion Factor</t>
  </si>
  <si>
    <t>Brand Base Unit</t>
  </si>
  <si>
    <t>Brand Acre</t>
  </si>
  <si>
    <t>Brand Value</t>
  </si>
  <si>
    <t>Brand</t>
  </si>
  <si>
    <t>Date of</t>
  </si>
  <si>
    <t>to Base Units</t>
  </si>
  <si>
    <t>Equivalents</t>
  </si>
  <si>
    <t xml:space="preserve">Row </t>
  </si>
  <si>
    <t>Name</t>
  </si>
  <si>
    <t>yes = 1, no = 0</t>
  </si>
  <si>
    <t>(calculate)</t>
  </si>
  <si>
    <t>Num</t>
  </si>
  <si>
    <t>BUCTRIL M</t>
  </si>
  <si>
    <t>BUCTRIL M (8 L)</t>
  </si>
  <si>
    <t>Y</t>
  </si>
  <si>
    <t>BUCTRIL M (128 L)</t>
  </si>
  <si>
    <t>N</t>
  </si>
  <si>
    <t>BUCTRIL M (400 L)</t>
  </si>
  <si>
    <t>CONCEPT</t>
  </si>
  <si>
    <t>DELARO</t>
  </si>
  <si>
    <t>EVERGOL ENERGY</t>
  </si>
  <si>
    <t>FOLICUR EW</t>
  </si>
  <si>
    <t>INFINITY</t>
  </si>
  <si>
    <t>INFINITY FX</t>
  </si>
  <si>
    <t>LUXXUR</t>
  </si>
  <si>
    <t>LUXXUR (8L + 243g)</t>
  </si>
  <si>
    <t>OLYMPUS</t>
  </si>
  <si>
    <t>PARDNER</t>
  </si>
  <si>
    <t>PROLINE</t>
  </si>
  <si>
    <t>PROSARO XTR</t>
  </si>
  <si>
    <t>PUMA ADVANCE</t>
  </si>
  <si>
    <t>RAXIL PRO</t>
  </si>
  <si>
    <t>RAXIL PRO SHIELD</t>
  </si>
  <si>
    <t>SENCOR</t>
  </si>
  <si>
    <t>STRESS SHIELD</t>
  </si>
  <si>
    <t>STRESS SHIELD 600 (27 L)</t>
  </si>
  <si>
    <t>THUMPER</t>
  </si>
  <si>
    <t>THUMPER (8 L)</t>
  </si>
  <si>
    <t>THUMPER (128 L)</t>
  </si>
  <si>
    <t>THUMPER (400 L)</t>
  </si>
  <si>
    <t>TRILEX EVERGOL</t>
  </si>
  <si>
    <t>TRILEX EVERGOL (1.5L+0.96L)</t>
  </si>
  <si>
    <t>TRILEX EVERGOL SHIELD</t>
  </si>
  <si>
    <t>TRILEX EVERGOL SHIELD (1.5L+0.96L+6.25L)</t>
  </si>
  <si>
    <t>TUNDRA</t>
  </si>
  <si>
    <t>VARRO</t>
  </si>
  <si>
    <t>VELOCITY</t>
  </si>
  <si>
    <t>Totals</t>
  </si>
  <si>
    <t>Base Unit Equivalents</t>
  </si>
  <si>
    <t>with Raxil Pro</t>
  </si>
  <si>
    <t>Matching Acres Stress Shield</t>
  </si>
  <si>
    <t>LeftOver Acres Stress Shield</t>
  </si>
  <si>
    <t>with TrilexEverGol</t>
  </si>
  <si>
    <t>xx</t>
  </si>
  <si>
    <t>ADMIRE</t>
  </si>
  <si>
    <t>ALIETTE</t>
  </si>
  <si>
    <t>BETAMIX B</t>
  </si>
  <si>
    <t>EMESTO SILVER</t>
  </si>
  <si>
    <t>MOVENTO</t>
  </si>
  <si>
    <t>SIVANTO PRIME</t>
  </si>
  <si>
    <t>SENCOR 75 DF</t>
  </si>
  <si>
    <t>LUNA TRANQUILITY</t>
  </si>
  <si>
    <t>SCALA</t>
  </si>
  <si>
    <t>VELUM PRIME</t>
  </si>
  <si>
    <t>REASON</t>
  </si>
  <si>
    <t>SERENADE SOIL</t>
  </si>
  <si>
    <t>NORTRON</t>
  </si>
  <si>
    <t>Yes</t>
  </si>
  <si>
    <t>BlackHawk</t>
  </si>
  <si>
    <t>Conquer</t>
  </si>
  <si>
    <t xml:space="preserve"> </t>
  </si>
  <si>
    <t>Fierce</t>
  </si>
  <si>
    <t>Valtera</t>
  </si>
  <si>
    <t>Admire</t>
  </si>
  <si>
    <t>Aliette</t>
  </si>
  <si>
    <t>Nortron</t>
  </si>
  <si>
    <t>2 L</t>
  </si>
  <si>
    <t>Reason</t>
  </si>
  <si>
    <t>9.46 L</t>
  </si>
  <si>
    <t>4.04 L</t>
  </si>
  <si>
    <t>Serenade Soil</t>
  </si>
  <si>
    <t>Sencor DF</t>
  </si>
  <si>
    <t>BetamixB</t>
  </si>
  <si>
    <t>4.86 L</t>
  </si>
  <si>
    <t>GoldWing</t>
  </si>
  <si>
    <t>BlackHawk Drum (95.8 L)</t>
  </si>
  <si>
    <t>GoldWing Drum (85.5 L)</t>
  </si>
  <si>
    <t>Davai</t>
  </si>
  <si>
    <t>sub-total</t>
  </si>
  <si>
    <t>REASON (2 L)</t>
  </si>
  <si>
    <t>SCALA (2 L)</t>
  </si>
  <si>
    <t>SCALA (6.07 L)</t>
  </si>
  <si>
    <t>BETAMIX B (10 L)</t>
  </si>
  <si>
    <t>ADMIRE 240 FLOWABLE (3.785 L)</t>
  </si>
  <si>
    <t>NORTRON SC (10 L)</t>
  </si>
  <si>
    <t>OLYMPUS SG70 (463G JUG)</t>
  </si>
  <si>
    <t>SERENADE SOIL AL (511 L)</t>
  </si>
  <si>
    <t>SERENADE SOIL AL (9.46 L)</t>
  </si>
  <si>
    <t>SIVANTO PRIME SL200 (2 L)</t>
  </si>
  <si>
    <t>ADMIRE 240 FLOWABLE ( 1 L)</t>
  </si>
  <si>
    <t>PUMA ADVANCE (8.25 L)</t>
  </si>
  <si>
    <t>PUMA ADVANCE (123.75 L)</t>
  </si>
  <si>
    <t>PUMA ADVANCE (412.5 L)</t>
  </si>
  <si>
    <t>GoldWing (2 x 10.7 L Case)</t>
  </si>
  <si>
    <t>Valtera (2 x 4.54 KG Case)</t>
  </si>
  <si>
    <t>Fierce (4 x 2.72 KG Case)</t>
  </si>
  <si>
    <t>BlackHawk (2x9 L Case)</t>
  </si>
  <si>
    <t>Davai 80 SL (2x8 L Case)</t>
  </si>
  <si>
    <t>Canola Trait (22.7 KG bag)</t>
  </si>
  <si>
    <t xml:space="preserve">Product is </t>
  </si>
  <si>
    <t>Obsolete?</t>
  </si>
  <si>
    <t>EMESTO SILVER (3.85 L)</t>
  </si>
  <si>
    <t>Questions/Comments?</t>
  </si>
  <si>
    <t>VARRO (128 L)</t>
  </si>
  <si>
    <t>Region</t>
  </si>
  <si>
    <t>West</t>
  </si>
  <si>
    <t>XTENDIMAX (10 L)</t>
  </si>
  <si>
    <t>XTENDIMAX</t>
  </si>
  <si>
    <t>SRP Filename :</t>
  </si>
  <si>
    <t>2020 SRP's as per Price List from Anna Reider on Sept 6, 2019 and re-sent after Bayer updates on Sept 10, 2019.</t>
  </si>
  <si>
    <t>Special Consideration - Hort AND Row Crop Products "the Additional Payment Products"</t>
  </si>
  <si>
    <t>ROUNDUP XTEND</t>
  </si>
  <si>
    <t>ROUNDUP XTEND (10 L)</t>
  </si>
  <si>
    <t>Deduct from payment dollars for the 1 % Volume Bonus because these products have values below $1500 each.</t>
  </si>
  <si>
    <t>Deduct Sencor value from qualifing dollars contribution FOR THE 1 % threshold contribution for the Volume Bonus because Emesto Silver acres are less than 300.</t>
  </si>
  <si>
    <t>Stress Shield</t>
  </si>
  <si>
    <t>Total Stress Shield acres matched</t>
  </si>
  <si>
    <t>OptionAcres</t>
  </si>
  <si>
    <t>OptionUnits</t>
  </si>
  <si>
    <t>Chosen Acres or Units entry?</t>
  </si>
  <si>
    <t>Yes/No</t>
  </si>
  <si>
    <t>Product Value</t>
  </si>
  <si>
    <t>@SRP</t>
  </si>
  <si>
    <t>Equivalents @SRP</t>
  </si>
  <si>
    <t>Product Base Unit Equivalent (calculate)</t>
  </si>
  <si>
    <t>Only totals for a few products - temporary fix</t>
  </si>
  <si>
    <t>Conquer (2x9.71 L+2x600 ML Case)</t>
  </si>
  <si>
    <t>Total  Canola Trait Acres</t>
  </si>
  <si>
    <t>Total  DEKALB Canola Trait Acres</t>
  </si>
  <si>
    <t>Total  Corn Trait Acres</t>
  </si>
  <si>
    <t>Total  DEKALB Corn Trait Acres</t>
  </si>
  <si>
    <t>Total  Soybean Trait Acres</t>
  </si>
  <si>
    <t>Total  DEKALB Soybean Trait Acres</t>
  </si>
  <si>
    <t>Amount of Stress Shield to deduct from overall Crop Protection purchases for that part that does not match with Raxil Pro and/or Trilex EverGol, for 1 % payment and/or SS is less than $1500.00 in value.</t>
  </si>
  <si>
    <t>XTENDIMAX (405 L)</t>
  </si>
  <si>
    <t>Source SRP and filename:</t>
  </si>
  <si>
    <t>Other Comments/Observations</t>
  </si>
  <si>
    <t>Command</t>
  </si>
  <si>
    <t xml:space="preserve">Command </t>
  </si>
  <si>
    <t>Command 360 ME (Jug)</t>
  </si>
  <si>
    <t>Command Charge (Case)</t>
  </si>
  <si>
    <t>PROSARO 115 (6.5 L)</t>
  </si>
  <si>
    <t>ROUNDUP WEATHERMAX (10 L)</t>
  </si>
  <si>
    <t>3 L</t>
  </si>
  <si>
    <t>3.785 L</t>
  </si>
  <si>
    <t>Acres or Units ? (calculate/switches)</t>
  </si>
  <si>
    <t>Data Entry - Acres OR Units?  (switches)</t>
  </si>
  <si>
    <t>PROLINE GOLD</t>
  </si>
  <si>
    <t>PROSARO 115</t>
  </si>
  <si>
    <t>PROSARO 115 (104 L)</t>
  </si>
  <si>
    <t>ROUNDUP WEATHERMAX</t>
  </si>
  <si>
    <t>VAYEGO</t>
  </si>
  <si>
    <t>VAYEGO ( 3 L)</t>
  </si>
  <si>
    <t>Obsolete section, used in 2019 only.</t>
  </si>
  <si>
    <t>Seed Trait, Seed and Seed Treatment Purchases, Current for 2020</t>
  </si>
  <si>
    <t>Crop - Hybrid - Seed Treatment Chosen dfrom Drop-Down</t>
  </si>
  <si>
    <t>TILMOR</t>
  </si>
  <si>
    <t>Product Type</t>
  </si>
  <si>
    <t>Insecticide</t>
  </si>
  <si>
    <t>Crop Trait</t>
  </si>
  <si>
    <t>Obsolete</t>
  </si>
  <si>
    <t>1 L</t>
  </si>
  <si>
    <t>2.26 KG</t>
  </si>
  <si>
    <t>128 L</t>
  </si>
  <si>
    <t>400 L</t>
  </si>
  <si>
    <t>5.26 L</t>
  </si>
  <si>
    <t>113.6 L</t>
  </si>
  <si>
    <t>3.85 L</t>
  </si>
  <si>
    <t>107.2 L</t>
  </si>
  <si>
    <t>335 L</t>
  </si>
  <si>
    <t xml:space="preserve"> (13.4L + 6.48L)</t>
  </si>
  <si>
    <t>405 L</t>
  </si>
  <si>
    <t>129.6 L</t>
  </si>
  <si>
    <t xml:space="preserve"> (8L + 243g)</t>
  </si>
  <si>
    <t>104 L</t>
  </si>
  <si>
    <t>123.75 L</t>
  </si>
  <si>
    <t>412.5 L</t>
  </si>
  <si>
    <t>58.5 L</t>
  </si>
  <si>
    <t>175.5 L</t>
  </si>
  <si>
    <t>1000 L</t>
  </si>
  <si>
    <t>(10L + 1.54L)</t>
  </si>
  <si>
    <t>511 L</t>
  </si>
  <si>
    <t>6.07 L</t>
  </si>
  <si>
    <t>(1.5L+0.96L)</t>
  </si>
  <si>
    <t>(6.49L + 4.15L)</t>
  </si>
  <si>
    <t>(1.5L+0.96L+6.25L)</t>
  </si>
  <si>
    <t>22.7 KG</t>
  </si>
  <si>
    <t>ROUNDUP XTEND (405 L)</t>
  </si>
  <si>
    <t>Received:</t>
  </si>
  <si>
    <t>Old section used for traits in 2020</t>
  </si>
  <si>
    <t>ROUNDUP WEATHERMAX (115 L)</t>
  </si>
  <si>
    <t>ROUNDUP WEATHERMAX (450 L)</t>
  </si>
  <si>
    <t>ROUNDUP WEATHERMAX (800 L)</t>
  </si>
  <si>
    <t>115 L</t>
  </si>
  <si>
    <t>450 L</t>
  </si>
  <si>
    <t>800 L</t>
  </si>
  <si>
    <t>TILMOR (10.12 L)</t>
  </si>
  <si>
    <t>10.12 L</t>
  </si>
  <si>
    <t>1 X Unit ( 140,000 seeds)</t>
  </si>
  <si>
    <t>Corn Trait (1 X Unit 80,000 seeds)</t>
  </si>
  <si>
    <t>LUNA TRANQUILITY (2 L)</t>
  </si>
  <si>
    <t>LUNA TRANQUILITY (4.86 L)</t>
  </si>
  <si>
    <t>MOVENTO (1 L)</t>
  </si>
  <si>
    <t>MOVENTO (2 L)</t>
  </si>
  <si>
    <t>VELUM PRIME (4.04 L)</t>
  </si>
  <si>
    <t>Soybean Trait (1 X Unit 140,000 seeds)</t>
  </si>
  <si>
    <t>1 X Unit ( 80,000 seeds)</t>
  </si>
  <si>
    <t>Package Size Definition</t>
  </si>
  <si>
    <t>Package Size</t>
  </si>
  <si>
    <t>JUG</t>
  </si>
  <si>
    <t>TOTE</t>
  </si>
  <si>
    <t>DRUM</t>
  </si>
  <si>
    <t>INFINITY FX COFORM (405 L)</t>
  </si>
  <si>
    <t>INFINITY FX COFORM (8.1 L)</t>
  </si>
  <si>
    <t>INFINITY FX COFORM (129.6 L)</t>
  </si>
  <si>
    <t>RAXIL PRO (58.5 L)</t>
  </si>
  <si>
    <t>RAXIL PRO (175.5 L)</t>
  </si>
  <si>
    <t>RAXIL PRO (1000 L)</t>
  </si>
  <si>
    <t>RAXIL PRO (10 L)</t>
  </si>
  <si>
    <t>SENCOR 75 DF (2.5 KG)</t>
  </si>
  <si>
    <t>Spare</t>
  </si>
  <si>
    <t>2.64 L</t>
  </si>
  <si>
    <t>13.3L + 2.64L</t>
  </si>
  <si>
    <t>CASE</t>
  </si>
  <si>
    <t>6.3 L</t>
  </si>
  <si>
    <t>6.1 L</t>
  </si>
  <si>
    <t>1.78 L</t>
  </si>
  <si>
    <t>BAG</t>
  </si>
  <si>
    <t>EAST/Field Crops</t>
  </si>
  <si>
    <t xml:space="preserve">BUCTRIL M </t>
  </si>
  <si>
    <t>CONVERGE FLEXX</t>
  </si>
  <si>
    <t>CONVERGE XT</t>
  </si>
  <si>
    <t>DELARO COMPLETE</t>
  </si>
  <si>
    <t>PROPULSE</t>
  </si>
  <si>
    <t>STRATEGO PRO</t>
  </si>
  <si>
    <t>Enter Crop Traits</t>
  </si>
  <si>
    <t>Total Corn Trait Acres</t>
  </si>
  <si>
    <t>Total Soybean Trait Acres</t>
  </si>
  <si>
    <t>=IF(Pkge!$L$132&gt;=  100, IF($E68 &gt;= 100, IF(Pkge!$L$132 &gt;= $E68, $E68, Pkge!$L$132),0),0)</t>
  </si>
  <si>
    <t>Reserved formula</t>
  </si>
  <si>
    <t>Total Reward</t>
  </si>
  <si>
    <t>INFINITY® (6.7 L)</t>
  </si>
  <si>
    <t>PROLINE® (5.1 L)</t>
  </si>
  <si>
    <t xml:space="preserve">PROSARO® XTR (6.5 L) </t>
  </si>
  <si>
    <t>STRATEGO® PRO (7.1 L)</t>
  </si>
  <si>
    <t>VARRO® (8 L)</t>
  </si>
  <si>
    <t>Soybean Trait (140,000 seeds)</t>
  </si>
  <si>
    <t>Corn Trait (80,000 kernels)</t>
  </si>
  <si>
    <t>LAUDIS</t>
  </si>
  <si>
    <t>3.6 L</t>
  </si>
  <si>
    <t>LAUDIS® (3.6 L)</t>
  </si>
  <si>
    <t>PROSARO PRO</t>
  </si>
  <si>
    <t xml:space="preserve">SENCOR 480 </t>
  </si>
  <si>
    <t>Fungicides</t>
  </si>
  <si>
    <t>$/Acre on Matched Acres</t>
  </si>
  <si>
    <t>Matching Trait Acres*</t>
  </si>
  <si>
    <t>** To qualify, more than $5000 in total crop protection and two brands of $1000 or more in purchases, is required</t>
  </si>
  <si>
    <t>SRP &gt;= $1000</t>
  </si>
  <si>
    <t>Total Count &gt;= $1000</t>
  </si>
  <si>
    <t>*To qualify, more than 100 acres of Seed Traits and a minimum of $1000 for each brand is required</t>
  </si>
  <si>
    <t>END OF INPUTS</t>
  </si>
  <si>
    <t>BUCTRIL® M (400 L)</t>
  </si>
  <si>
    <t>CONVERGE® FLEXX (2.64 L)</t>
  </si>
  <si>
    <t>CONVERGE® XT (2.64 L + 13.3 L)</t>
  </si>
  <si>
    <t>DELARO®  COMPLETE (7.11 L)</t>
  </si>
  <si>
    <t>INFINITY® FX (8.1 L)</t>
  </si>
  <si>
    <t>INFINITY® FX (405 L)</t>
  </si>
  <si>
    <t>BUCTRIL® M (8 L)</t>
  </si>
  <si>
    <t>INFINITY® (335 L)</t>
  </si>
  <si>
    <t>PROPULSE® (6.1 L)</t>
  </si>
  <si>
    <t>PROSARO® PRO (6.07 L)</t>
  </si>
  <si>
    <t>PROSARO® XTR (104 L)</t>
  </si>
  <si>
    <t>STRATEGO® PRO (113.6 L)</t>
  </si>
  <si>
    <t>SENCOR® 480 (5 L)</t>
  </si>
  <si>
    <t>SENCOR® 75DF (2.5 KG)</t>
  </si>
  <si>
    <t>Rebate Calculator</t>
  </si>
  <si>
    <t>Corn and Soybean Herbicides</t>
  </si>
  <si>
    <t>SENCOR® 480 (1000 L)</t>
  </si>
  <si>
    <t>Tote</t>
  </si>
  <si>
    <r>
      <t>BayerValue</t>
    </r>
    <r>
      <rPr>
        <sz val="11"/>
        <color theme="1"/>
        <rFont val="Calibri"/>
        <family val="2"/>
      </rPr>
      <t>™</t>
    </r>
    <r>
      <rPr>
        <sz val="9.9"/>
        <color theme="1"/>
        <rFont val="Calibri"/>
        <family val="2"/>
      </rPr>
      <t xml:space="preserve"> East Rewards Program - Enter Purchases</t>
    </r>
  </si>
  <si>
    <r>
      <t>BayerValue</t>
    </r>
    <r>
      <rPr>
        <sz val="11"/>
        <color theme="1"/>
        <rFont val="Calibri"/>
        <family val="2"/>
      </rPr>
      <t>™</t>
    </r>
    <r>
      <rPr>
        <sz val="9.9"/>
        <color theme="1"/>
        <rFont val="Calibri"/>
        <family val="2"/>
      </rPr>
      <t xml:space="preserve"> East Rewards</t>
    </r>
  </si>
  <si>
    <t>Not active for this app - 2022</t>
  </si>
  <si>
    <t>PROSARO® PRO (97.17 L)</t>
  </si>
  <si>
    <t>97.17 L</t>
  </si>
  <si>
    <t>4 L</t>
  </si>
  <si>
    <t>CORVUS</t>
  </si>
  <si>
    <t>Segment</t>
  </si>
  <si>
    <t>East</t>
  </si>
  <si>
    <t>ALIETTE WDG (2.268 KG)</t>
  </si>
  <si>
    <t>VIOS G3</t>
  </si>
  <si>
    <t>Total BayerValue™ Rebate</t>
  </si>
  <si>
    <t>DELARO®  COMPLETE (113.8 L)</t>
  </si>
  <si>
    <t>113.8 L</t>
  </si>
  <si>
    <t>2 X 7.11 L</t>
  </si>
  <si>
    <t>PUMA® ADVANCE (8.25 L)</t>
  </si>
  <si>
    <t>Not active for this app - 2023</t>
  </si>
  <si>
    <t>2024 BayerValue™</t>
  </si>
  <si>
    <t>has FieldView subscription Yes</t>
  </si>
  <si>
    <t>has FieldView subscription No</t>
  </si>
  <si>
    <t>Price of subscription</t>
  </si>
  <si>
    <t>Eastern Canada Field Crops- for Estimate Purposes Only</t>
  </si>
  <si>
    <t xml:space="preserve">Select the data entry type you prefer: </t>
  </si>
  <si>
    <t>Farm Name:</t>
  </si>
  <si>
    <t>Cereal Herbicides</t>
  </si>
  <si>
    <t>Total Crop Protection Brand Acres</t>
  </si>
  <si>
    <t>Date:</t>
  </si>
  <si>
    <t>SHUTTLE</t>
  </si>
  <si>
    <t>ROUNDUP TRANSORB</t>
  </si>
  <si>
    <t>ROUNDUP WEATHERMAX® (10 L)</t>
  </si>
  <si>
    <t>ROUNDUP WEATHERMAX® (115 L)</t>
  </si>
  <si>
    <t>ROUNDUP WEATHERMAX® (450 L)</t>
  </si>
  <si>
    <t>ROUNDUP WEATHERMAX® (800 L)</t>
  </si>
  <si>
    <r>
      <t>Active FieldView</t>
    </r>
    <r>
      <rPr>
        <b/>
        <sz val="12"/>
        <color rgb="FF002060"/>
        <rFont val="Calibri"/>
        <family val="2"/>
      </rPr>
      <t>™</t>
    </r>
    <r>
      <rPr>
        <b/>
        <sz val="12"/>
        <color rgb="FF002060"/>
        <rFont val="Calibri"/>
        <family val="2"/>
        <scheme val="minor"/>
      </rPr>
      <t xml:space="preserve"> subscription?</t>
    </r>
  </si>
  <si>
    <t>ROUNDUP TRANSORB® HC (10 L)</t>
  </si>
  <si>
    <t>ROUNDUP TRANSORB® HC (115 L)</t>
  </si>
  <si>
    <t>ROUNDUP TRANSORB® HC (450 L)</t>
  </si>
  <si>
    <t>ROUNDUP TRANSORB® HC (800 L)</t>
  </si>
  <si>
    <t>Brand Acres of Roundup Transorb and Roundup WeatherMax</t>
  </si>
  <si>
    <t>Brand Acres</t>
  </si>
  <si>
    <t>Rebate</t>
  </si>
  <si>
    <t>Brand Acres where Purchases are $1000 or greater</t>
  </si>
  <si>
    <t>CORVUS® (4 L)</t>
  </si>
  <si>
    <t>VIOS® G3 (1.78 L)</t>
  </si>
  <si>
    <t>ALIAS NAME</t>
  </si>
  <si>
    <t>ROUNDUP XTEND® WITH VAPORGRIP® TECHNOLOGY (10 L)</t>
  </si>
  <si>
    <t>ROUNDUP XTEND® WITH VAPORGRIP® TECHNOLOGY (450 L)</t>
  </si>
  <si>
    <t>ROUNDUP XTEND® 2 WITH VAPORGRIP® TECHNOLOGY (10 L)</t>
  </si>
  <si>
    <t>ROUNDUP XTEND® 2 WITH VAPORGRIP®TECHNOLOGY (450 L)</t>
  </si>
  <si>
    <t>XTENDIMAX® WITH VAPORGRIP® TECHNOLOGY (10 L)</t>
  </si>
  <si>
    <t>XTENDIMAX® WITH VAPORGRIP® TECHNOLOGY (450 L)</t>
  </si>
  <si>
    <t>XTENDIMAX® 2 WITH VAPORGRIP® TECHNOLOGY (10 L)</t>
  </si>
  <si>
    <t>XTENDIMAX® 2 WITH VAPORGRIP® TECHNOLOGY (450 L)</t>
  </si>
  <si>
    <t>XTENDIMAX® 2 WITH VAPORGRIP® TECHNOLOGY (122.38 L)</t>
  </si>
  <si>
    <t>122.38 L</t>
  </si>
  <si>
    <t>Roundup® Key Product Focus</t>
  </si>
  <si>
    <t>Number of acres matching Roundup Transorb and/or Roundup WeatherMax acres</t>
  </si>
  <si>
    <t>XTENDIMAX 2</t>
  </si>
  <si>
    <t>ROUNDUP XTEND 2</t>
  </si>
  <si>
    <t>Unmatched Acres**</t>
  </si>
  <si>
    <t>Unmatched Acres Rebate Total</t>
  </si>
  <si>
    <t>$/Acre on Unmatched Acres</t>
  </si>
  <si>
    <t>Rebate on Unmatched Acres</t>
  </si>
  <si>
    <t>Trait Matched Acres Rebate Total</t>
  </si>
  <si>
    <t>Trait Matched Acres and Unmatched Acres Rebate</t>
  </si>
  <si>
    <t>Rebate on Matched Trait Acres</t>
  </si>
  <si>
    <r>
      <rPr>
        <b/>
        <sz val="17"/>
        <color rgb="FF002060"/>
        <rFont val="Calibri"/>
        <family val="2"/>
      </rPr>
      <t>FieldView™</t>
    </r>
    <r>
      <rPr>
        <b/>
        <sz val="17"/>
        <color rgb="FF002060"/>
        <rFont val="Calibri"/>
        <family val="2"/>
        <scheme val="minor"/>
      </rPr>
      <t xml:space="preserve"> Rewards Rebate</t>
    </r>
  </si>
  <si>
    <t>Corn Trait Acres</t>
  </si>
  <si>
    <t>Soybean Trait Acres</t>
  </si>
  <si>
    <t>Total Trait Acres</t>
  </si>
  <si>
    <t>Total Matched Acres Rebate per Trait Acre Equivalent</t>
  </si>
  <si>
    <t>Total Matched Acres Rebate per Corn Bag Equivalent</t>
  </si>
  <si>
    <t>Total Matched Acres Rebate per Soybean Bag Equivalent</t>
  </si>
  <si>
    <t>Scroll Down for more products -----&gt;&gt;&gt;&gt;</t>
  </si>
  <si>
    <t>SRP COLOR CODE</t>
  </si>
  <si>
    <t>Update on SRP</t>
  </si>
  <si>
    <t>OPTION® LIQUID (6.3 L)</t>
  </si>
  <si>
    <t>OPTION LIQUID</t>
  </si>
  <si>
    <t>Number of Brands of $1000 and greater</t>
  </si>
  <si>
    <t>(Enter the date)</t>
  </si>
  <si>
    <t xml:space="preserve">2026 BayerValue™ </t>
  </si>
  <si>
    <t>ACTIVE 2026 NEW</t>
  </si>
  <si>
    <t>Savings/Acre</t>
  </si>
  <si>
    <t>VELOCITY M3® ( 8.1 L)</t>
  </si>
  <si>
    <t>VELOCITY M3® ( 129.6 L)</t>
  </si>
  <si>
    <t>Total Crop Protection Purchases</t>
  </si>
  <si>
    <t>OBSOLETE SECTION FOR 2026</t>
  </si>
  <si>
    <t>HUSKIE® PRE ( 8.1 L)</t>
  </si>
  <si>
    <t>HUSKIE® PRE  ( 129.6 L)</t>
  </si>
  <si>
    <t>HUSKIE® PRE ( 405 L)</t>
  </si>
  <si>
    <t>HUSKIE® PRE</t>
  </si>
  <si>
    <t>2025/26</t>
  </si>
  <si>
    <t>2026 CP pricing east west Oct 7_CONFIDENTIAL.xlsx</t>
  </si>
  <si>
    <t>As of Oct 14, 2025 TEAMS message from Tiffany Gogowich</t>
  </si>
  <si>
    <t>ACTIVE 2026</t>
  </si>
  <si>
    <t>NOT ACTIVE 2026</t>
  </si>
  <si>
    <t>West/East</t>
  </si>
  <si>
    <t>Not active for this app - 2026</t>
  </si>
  <si>
    <t>426 L</t>
  </si>
  <si>
    <t>DELARO®  COMPLETE (426.6 L)</t>
  </si>
  <si>
    <t>a DOUBLE CHECK</t>
  </si>
  <si>
    <t>Not in the 2026 program</t>
  </si>
  <si>
    <t>Instructed  by Bayer to use 2025 SRP's as SRP'S FOR 2026 not on the 2026 SRP List as provided to me on Oct 14, 2025</t>
  </si>
  <si>
    <t>not on 2026 program for the East</t>
  </si>
  <si>
    <t>Version 26.20P</t>
  </si>
  <si>
    <t>CONVINTRO® CORN 12 ( 3.55L + 10L)</t>
  </si>
  <si>
    <t>CONVINTRO CORN 12</t>
  </si>
  <si>
    <t>3.55L + 10L</t>
  </si>
  <si>
    <t>COPAK</t>
  </si>
  <si>
    <t>&lt;&lt; -- Click on this box to select from this drop-down list</t>
  </si>
  <si>
    <t>No</t>
  </si>
  <si>
    <t>TDK935ZP20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</si>
</sst>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09]mmmm\ d\,\ yyyy;@"/>
    <numFmt numFmtId="165" formatCode="0_ ;\-0\ "/>
    <numFmt numFmtId="166" formatCode="#,##0.0"/>
    <numFmt numFmtId="167" formatCode="#,##0.000"/>
    <numFmt numFmtId="168" formatCode="0.0000"/>
    <numFmt numFmtId="169" formatCode="_(* #,##0.0_);_(* \(#,##0.0\);_(* &quot;-&quot;??_);_(@_)"/>
    <numFmt numFmtId="170" formatCode="&quot;$&quot;#,##0.00"/>
    <numFmt numFmtId="171" formatCode="#,##0.0_ ;\-#,##0.0\ "/>
    <numFmt numFmtId="172" formatCode="0.0"/>
    <numFmt numFmtId="173" formatCode="#,##0.00_ ;\-#,##0.00\ "/>
    <numFmt numFmtId="174" formatCode="[&lt;=9999999]###\-####;###\-###\-####"/>
  </numFmts>
  <fonts count="10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color rgb="FF01135F"/>
      <name val="Calibri"/>
      <family val="2"/>
      <scheme val="minor"/>
    </font>
    <font>
      <b/>
      <sz val="10"/>
      <color rgb="FF01135F"/>
      <name val="Calibri"/>
      <family val="2"/>
      <scheme val="minor"/>
    </font>
    <font>
      <sz val="10"/>
      <color rgb="FF01135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6"/>
      <color rgb="FF002060"/>
      <name val="Calibri"/>
      <family val="2"/>
      <scheme val="minor"/>
    </font>
    <font>
      <b/>
      <sz val="11"/>
      <color theme="1"/>
      <name val="Arial"/>
      <family val="2"/>
    </font>
    <font>
      <b/>
      <i/>
      <sz val="12"/>
      <color rgb="FF00B05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FFFF00"/>
      <name val="Calibri"/>
      <family val="2"/>
      <scheme val="minor"/>
    </font>
    <font>
      <b/>
      <sz val="9"/>
      <color theme="0"/>
      <name val="Arial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sz val="10"/>
      <color theme="1"/>
      <name val="Arial"/>
      <family val="2"/>
    </font>
    <font>
      <sz val="11"/>
      <color rgb="FF003CFE"/>
      <name val="Calibri"/>
      <family val="2"/>
      <scheme val="minor"/>
    </font>
    <font>
      <sz val="11"/>
      <color rgb="FF0070C0"/>
      <name val="Arial"/>
      <family val="2"/>
    </font>
    <font>
      <b/>
      <i/>
      <sz val="12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1135F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b/>
      <sz val="14"/>
      <color rgb="FF01135F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1"/>
      <color rgb="FF00359E"/>
      <name val="Calibri"/>
      <family val="2"/>
      <scheme val="minor"/>
    </font>
    <font>
      <b/>
      <sz val="12"/>
      <color rgb="FF00009A"/>
      <name val="Calibri"/>
      <family val="2"/>
      <scheme val="minor"/>
    </font>
    <font>
      <b/>
      <sz val="11"/>
      <color rgb="FF00009A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1"/>
      <color theme="1"/>
      <name val="Calibri"/>
      <family val="2"/>
    </font>
    <font>
      <sz val="9.9"/>
      <color theme="1"/>
      <name val="Calibri"/>
      <family val="2"/>
    </font>
    <font>
      <b/>
      <sz val="20"/>
      <color rgb="FF00206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0070C0"/>
      <name val="Arial"/>
      <family val="2"/>
    </font>
    <font>
      <b/>
      <sz val="10"/>
      <color rgb="FFFF0000"/>
      <name val="Calibri"/>
      <family val="2"/>
      <scheme val="minor"/>
    </font>
    <font>
      <sz val="1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6"/>
      <color theme="0"/>
      <name val="Calibri"/>
      <family val="2"/>
      <scheme val="minor"/>
    </font>
    <font>
      <b/>
      <sz val="10"/>
      <color rgb="FF002060"/>
      <name val="Tahoma"/>
      <family val="2"/>
    </font>
    <font>
      <b/>
      <sz val="24"/>
      <color rgb="FF002060"/>
      <name val="Calibri"/>
      <family val="2"/>
      <scheme val="minor"/>
    </font>
    <font>
      <b/>
      <sz val="15"/>
      <color rgb="FF00206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6"/>
      <color rgb="FF00206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3"/>
      <color rgb="FF00206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7"/>
      <color rgb="FF00206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rgb="FF002060"/>
      <name val="Calibri"/>
      <family val="2"/>
    </font>
    <font>
      <sz val="11"/>
      <color rgb="FF0070C0"/>
      <name val="Calibri"/>
      <family val="2"/>
      <scheme val="minor"/>
    </font>
    <font>
      <sz val="11"/>
      <color rgb="FF0070C0"/>
      <name val="Aptos"/>
      <family val="2"/>
    </font>
    <font>
      <b/>
      <sz val="20"/>
      <color rgb="FF007E39"/>
      <name val="Calibri"/>
      <family val="2"/>
      <scheme val="minor"/>
    </font>
    <font>
      <b/>
      <sz val="12"/>
      <color rgb="FF31869B"/>
      <name val="Calibri"/>
      <family val="2"/>
      <scheme val="minor"/>
    </font>
    <font>
      <sz val="11"/>
      <color rgb="FF31869B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8"/>
      <color rgb="FF007E39"/>
      <name val="Calibri"/>
      <family val="2"/>
      <scheme val="minor"/>
    </font>
    <font>
      <b/>
      <sz val="13"/>
      <color rgb="FF31869B"/>
      <name val="Calibri"/>
      <family val="2"/>
      <scheme val="minor"/>
    </font>
    <font>
      <sz val="13"/>
      <color rgb="FF31869B"/>
      <name val="Calibri"/>
      <family val="2"/>
      <scheme val="minor"/>
    </font>
    <font>
      <b/>
      <sz val="14"/>
      <color rgb="FF002060"/>
      <name val="Tahoma"/>
      <family val="2"/>
    </font>
    <font>
      <b/>
      <sz val="14"/>
      <color rgb="FFFF0000"/>
      <name val="Calibri"/>
      <family val="2"/>
      <scheme val="minor"/>
    </font>
    <font>
      <b/>
      <sz val="11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1919FF"/>
        <bgColor indexed="64"/>
      </patternFill>
    </fill>
    <fill>
      <patternFill patternType="solid">
        <fgColor rgb="FFFFFFFF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 tint="-5.0965910824915313E-2"/>
        </stop>
      </gradientFill>
    </fill>
    <fill>
      <patternFill patternType="solid">
        <fgColor rgb="FFAFAF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7F7F7"/>
        <bgColor indexed="64"/>
      </patternFill>
    </fill>
    <fill>
      <gradientFill degree="90">
        <stop position="0">
          <color theme="0" tint="-0.1490218817712943"/>
        </stop>
        <stop position="1">
          <color theme="8" tint="0.80001220740379042"/>
        </stop>
      </gradientFill>
    </fill>
    <fill>
      <gradientFill type="path">
        <stop position="0">
          <color theme="0" tint="-0.1490218817712943"/>
        </stop>
        <stop position="1">
          <color rgb="FF227202"/>
        </stop>
      </gradientFill>
    </fill>
    <fill>
      <patternFill patternType="solid">
        <fgColor rgb="FF001554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3" tint="0.80001220740379042"/>
        </stop>
      </gradientFill>
    </fill>
    <fill>
      <patternFill patternType="solid">
        <fgColor rgb="FFEDF7F9"/>
        <bgColor indexed="64"/>
      </patternFill>
    </fill>
    <fill>
      <gradientFill type="path">
        <stop position="0">
          <color theme="0" tint="-0.25098422193060094"/>
        </stop>
        <stop position="1">
          <color theme="8" tint="-0.25098422193060094"/>
        </stop>
      </gradientFill>
    </fill>
    <fill>
      <gradientFill type="path" left="0.5" right="0.5" top="0.5" bottom="0.5">
        <stop position="0">
          <color theme="0" tint="-0.25098422193060094"/>
        </stop>
        <stop position="1">
          <color theme="8" tint="-0.25098422193060094"/>
        </stop>
      </gradientFill>
    </fill>
    <fill>
      <patternFill patternType="solid">
        <fgColor rgb="FFFFFF99"/>
        <bgColor indexed="64"/>
      </patternFill>
    </fill>
    <fill>
      <patternFill patternType="solid">
        <fgColor rgb="FF007E39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1FBCB"/>
        <bgColor indexed="64"/>
      </patternFill>
    </fill>
    <fill>
      <gradientFill type="path" left="0.5" right="0.5" top="0.5" bottom="0.5">
        <stop position="0">
          <color theme="0" tint="-0.1490218817712943"/>
        </stop>
        <stop position="1">
          <color rgb="FF007E39"/>
        </stop>
      </gradientFill>
    </fill>
    <fill>
      <gradientFill type="path" left="0.5" right="0.5" top="0.5" bottom="0.5">
        <stop position="0">
          <color theme="0" tint="-0.25098422193060094"/>
        </stop>
        <stop position="1">
          <color theme="3" tint="0.40000610370189521"/>
        </stop>
      </gradientFill>
    </fill>
    <fill>
      <patternFill patternType="solid">
        <fgColor rgb="FF9DF9AC"/>
        <bgColor auto="1"/>
      </patternFill>
    </fill>
    <fill>
      <gradientFill type="path" left="0.5" right="0.5" top="0.5" bottom="0.5">
        <stop position="0">
          <color theme="0"/>
        </stop>
        <stop position="1">
          <color rgb="FF9DF9AC"/>
        </stop>
      </gradientFill>
    </fill>
    <fill>
      <gradientFill type="path">
        <stop position="0">
          <color rgb="FF9DF9AC"/>
        </stop>
        <stop position="1">
          <color rgb="FF9DF9AC"/>
        </stop>
      </gradientFill>
    </fill>
    <fill>
      <gradientFill degree="90">
        <stop position="0">
          <color theme="0"/>
        </stop>
        <stop position="1">
          <color rgb="FF9DF9AC"/>
        </stop>
      </gradientFill>
    </fill>
    <fill>
      <gradientFill type="path" left="0.5" right="0.5" top="0.5" bottom="0.5">
        <stop position="0">
          <color theme="0" tint="-0.1490218817712943"/>
        </stop>
        <stop position="1">
          <color rgb="FF0070C0"/>
        </stop>
      </gradientFill>
    </fill>
    <fill>
      <patternFill patternType="solid">
        <fgColor rgb="FF00B0F0"/>
        <bgColor indexed="64"/>
      </patternFill>
    </fill>
    <fill>
      <patternFill patternType="solid">
        <fgColor rgb="FF9DF9AC"/>
        <bgColor indexed="64"/>
      </patternFill>
    </fill>
  </fills>
  <borders count="226">
    <border>
      <left/>
      <right/>
      <top/>
      <bottom/>
      <diagonal/>
    </border>
    <border>
      <left/>
      <right style="medium">
        <color rgb="FF1CA422"/>
      </right>
      <top/>
      <bottom/>
      <diagonal/>
    </border>
    <border>
      <left style="medium">
        <color rgb="FF1CA422"/>
      </left>
      <right style="medium">
        <color rgb="FF1CA422"/>
      </right>
      <top style="medium">
        <color rgb="FF1CA422"/>
      </top>
      <bottom style="medium">
        <color rgb="FF1CA422"/>
      </bottom>
      <diagonal/>
    </border>
    <border>
      <left/>
      <right style="medium">
        <color rgb="FF1CA422"/>
      </right>
      <top style="medium">
        <color rgb="FF1CA422"/>
      </top>
      <bottom/>
      <diagonal/>
    </border>
    <border>
      <left style="medium">
        <color rgb="FF1CA422"/>
      </left>
      <right/>
      <top/>
      <bottom style="medium">
        <color rgb="FF1CA422"/>
      </bottom>
      <diagonal/>
    </border>
    <border>
      <left style="medium">
        <color rgb="FF1CA422"/>
      </left>
      <right style="medium">
        <color rgb="FF1CA422"/>
      </right>
      <top style="medium">
        <color rgb="FF1CA422"/>
      </top>
      <bottom/>
      <diagonal/>
    </border>
    <border>
      <left style="medium">
        <color rgb="FF1CA422"/>
      </left>
      <right style="medium">
        <color rgb="FF1CA422"/>
      </right>
      <top/>
      <bottom style="medium">
        <color rgb="FF1CA422"/>
      </bottom>
      <diagonal/>
    </border>
    <border>
      <left style="medium">
        <color rgb="FF1CA422"/>
      </left>
      <right/>
      <top style="medium">
        <color rgb="FF1CA422"/>
      </top>
      <bottom style="medium">
        <color rgb="FF1CA422"/>
      </bottom>
      <diagonal/>
    </border>
    <border>
      <left/>
      <right style="medium">
        <color rgb="FF1CA422"/>
      </right>
      <top style="medium">
        <color rgb="FF1CA422"/>
      </top>
      <bottom style="medium">
        <color rgb="FF1CA422"/>
      </bottom>
      <diagonal/>
    </border>
    <border>
      <left style="medium">
        <color rgb="FF1CA422"/>
      </left>
      <right/>
      <top/>
      <bottom/>
      <diagonal/>
    </border>
    <border>
      <left style="medium">
        <color rgb="FF1CA422"/>
      </left>
      <right/>
      <top style="medium">
        <color rgb="FF1CA422"/>
      </top>
      <bottom/>
      <diagonal/>
    </border>
    <border>
      <left/>
      <right/>
      <top style="medium">
        <color rgb="FF1CA422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1CA422"/>
      </top>
      <bottom style="medium">
        <color rgb="FF1CA422"/>
      </bottom>
      <diagonal/>
    </border>
    <border>
      <left style="medium">
        <color rgb="FF1CA422"/>
      </left>
      <right style="medium">
        <color rgb="FF1CA422"/>
      </right>
      <top/>
      <bottom/>
      <diagonal/>
    </border>
    <border>
      <left style="thick">
        <color rgb="FF1CA422"/>
      </left>
      <right style="thick">
        <color rgb="FF1CA422"/>
      </right>
      <top style="thick">
        <color rgb="FF1CA422"/>
      </top>
      <bottom style="thick">
        <color rgb="FF1CA4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rgb="FF1CA422"/>
      </right>
      <top style="thick">
        <color rgb="FF1CA422"/>
      </top>
      <bottom style="thick">
        <color rgb="FF1CA422"/>
      </bottom>
      <diagonal/>
    </border>
    <border>
      <left/>
      <right style="thick">
        <color rgb="FF1CA422"/>
      </right>
      <top/>
      <bottom style="thick">
        <color rgb="FF1CA4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rgb="FF1CA422"/>
      </left>
      <right style="thick">
        <color rgb="FF1CA422"/>
      </right>
      <top/>
      <bottom style="thick">
        <color rgb="FF1CA422"/>
      </bottom>
      <diagonal/>
    </border>
    <border>
      <left style="medium">
        <color rgb="FF1CA422"/>
      </left>
      <right style="medium">
        <color indexed="64"/>
      </right>
      <top style="medium">
        <color rgb="FF1CA422"/>
      </top>
      <bottom/>
      <diagonal/>
    </border>
    <border>
      <left style="medium">
        <color indexed="64"/>
      </left>
      <right style="medium">
        <color indexed="64"/>
      </right>
      <top style="medium">
        <color rgb="FF1CA422"/>
      </top>
      <bottom/>
      <diagonal/>
    </border>
    <border>
      <left style="medium">
        <color indexed="64"/>
      </left>
      <right/>
      <top style="medium">
        <color rgb="FF1CA422"/>
      </top>
      <bottom/>
      <diagonal/>
    </border>
    <border>
      <left style="medium">
        <color rgb="FF1CA422"/>
      </left>
      <right style="medium">
        <color indexed="64"/>
      </right>
      <top/>
      <bottom/>
      <diagonal/>
    </border>
    <border>
      <left style="thick">
        <color rgb="FF1CA422"/>
      </left>
      <right style="thick">
        <color rgb="FF1CA422"/>
      </right>
      <top style="thick">
        <color rgb="FF1CA422"/>
      </top>
      <bottom/>
      <diagonal/>
    </border>
    <border>
      <left style="thick">
        <color rgb="FF1CA422"/>
      </left>
      <right/>
      <top style="thick">
        <color rgb="FF1CA422"/>
      </top>
      <bottom style="thick">
        <color rgb="FF1CA4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1CA422"/>
      </left>
      <right/>
      <top/>
      <bottom style="thick">
        <color rgb="FF1CA422"/>
      </bottom>
      <diagonal/>
    </border>
    <border>
      <left style="thin">
        <color rgb="FF1CA422"/>
      </left>
      <right style="thin">
        <color rgb="FF1CA422"/>
      </right>
      <top style="thin">
        <color rgb="FF1CA422"/>
      </top>
      <bottom style="thin">
        <color rgb="FF1CA422"/>
      </bottom>
      <diagonal/>
    </border>
    <border>
      <left style="thin">
        <color rgb="FF1CA422"/>
      </left>
      <right style="thin">
        <color rgb="FF1CA422"/>
      </right>
      <top style="thin">
        <color rgb="FF1CA422"/>
      </top>
      <bottom/>
      <diagonal/>
    </border>
    <border>
      <left style="thin">
        <color rgb="FF1CA422"/>
      </left>
      <right style="medium">
        <color rgb="FF1CA422"/>
      </right>
      <top style="thin">
        <color rgb="FF1CA422"/>
      </top>
      <bottom style="medium">
        <color rgb="FF1CA422"/>
      </bottom>
      <diagonal/>
    </border>
    <border>
      <left style="thin">
        <color rgb="FF1CA422"/>
      </left>
      <right style="thin">
        <color rgb="FF1CA422"/>
      </right>
      <top/>
      <bottom style="thin">
        <color rgb="FF1CA422"/>
      </bottom>
      <diagonal/>
    </border>
    <border>
      <left style="thin">
        <color rgb="FF1CA422"/>
      </left>
      <right style="medium">
        <color rgb="FF1CA422"/>
      </right>
      <top style="thin">
        <color rgb="FF1CA422"/>
      </top>
      <bottom style="thin">
        <color rgb="FF1CA422"/>
      </bottom>
      <diagonal/>
    </border>
    <border>
      <left style="medium">
        <color rgb="FF1CA422"/>
      </left>
      <right style="medium">
        <color rgb="FF1CA422"/>
      </right>
      <top/>
      <bottom style="thin">
        <color rgb="FF1CA422"/>
      </bottom>
      <diagonal/>
    </border>
    <border>
      <left style="medium">
        <color rgb="FF1CA422"/>
      </left>
      <right style="thin">
        <color rgb="FFFF0000"/>
      </right>
      <top style="medium">
        <color rgb="FF1CA422"/>
      </top>
      <bottom/>
      <diagonal/>
    </border>
    <border>
      <left style="thin">
        <color rgb="FFFF0000"/>
      </left>
      <right style="thin">
        <color rgb="FFFF0000"/>
      </right>
      <top style="medium">
        <color rgb="FF1CA422"/>
      </top>
      <bottom/>
      <diagonal/>
    </border>
    <border>
      <left style="thin">
        <color rgb="FFFF0000"/>
      </left>
      <right style="medium">
        <color rgb="FF1CA422"/>
      </right>
      <top style="medium">
        <color rgb="FF1CA422"/>
      </top>
      <bottom/>
      <diagonal/>
    </border>
    <border>
      <left/>
      <right style="thin">
        <color rgb="FF1CA422"/>
      </right>
      <top style="thin">
        <color rgb="FF1CA422"/>
      </top>
      <bottom style="thin">
        <color rgb="FF1CA422"/>
      </bottom>
      <diagonal/>
    </border>
    <border>
      <left style="medium">
        <color rgb="FF1CA422"/>
      </left>
      <right style="medium">
        <color rgb="FF1CA422"/>
      </right>
      <top/>
      <bottom style="thick">
        <color rgb="FF1CA422"/>
      </bottom>
      <diagonal/>
    </border>
    <border>
      <left style="medium">
        <color rgb="FF1CA422"/>
      </left>
      <right style="medium">
        <color rgb="FF1CA422"/>
      </right>
      <top style="thick">
        <color rgb="FF1CA422"/>
      </top>
      <bottom style="thick">
        <color rgb="FF1CA422"/>
      </bottom>
      <diagonal/>
    </border>
    <border>
      <left style="thin">
        <color rgb="FF1CA422"/>
      </left>
      <right/>
      <top style="thin">
        <color rgb="FF1CA422"/>
      </top>
      <bottom style="thin">
        <color rgb="FF1CA422"/>
      </bottom>
      <diagonal/>
    </border>
    <border>
      <left/>
      <right/>
      <top style="thin">
        <color rgb="FF1CA422"/>
      </top>
      <bottom style="thin">
        <color rgb="FF1CA4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1CA422"/>
      </bottom>
      <diagonal/>
    </border>
    <border>
      <left style="thin">
        <color rgb="FF1CA422"/>
      </left>
      <right/>
      <top style="thin">
        <color rgb="FF1CA422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1CA422"/>
      </left>
      <right style="thin">
        <color rgb="FF1CA422"/>
      </right>
      <top style="thin">
        <color rgb="FF1CA422"/>
      </top>
      <bottom style="medium">
        <color rgb="FF1CA422"/>
      </bottom>
      <diagonal/>
    </border>
    <border>
      <left style="medium">
        <color rgb="FF1CA422"/>
      </left>
      <right style="thin">
        <color rgb="FF1CA422"/>
      </right>
      <top style="medium">
        <color rgb="FF1CA422"/>
      </top>
      <bottom style="thin">
        <color rgb="FF1CA422"/>
      </bottom>
      <diagonal/>
    </border>
    <border>
      <left/>
      <right/>
      <top style="thin">
        <color rgb="FF1CA422"/>
      </top>
      <bottom/>
      <diagonal/>
    </border>
    <border>
      <left style="thick">
        <color rgb="FF92D050"/>
      </left>
      <right/>
      <top/>
      <bottom/>
      <diagonal/>
    </border>
    <border>
      <left style="thin">
        <color rgb="FF1CA422"/>
      </left>
      <right style="medium">
        <color rgb="FF1CA422"/>
      </right>
      <top style="medium">
        <color rgb="FF1CA422"/>
      </top>
      <bottom style="thin">
        <color rgb="FF1CA422"/>
      </bottom>
      <diagonal/>
    </border>
    <border>
      <left style="medium">
        <color rgb="FF1CA422"/>
      </left>
      <right style="thin">
        <color rgb="FF1CA422"/>
      </right>
      <top style="thin">
        <color rgb="FF1CA422"/>
      </top>
      <bottom style="thin">
        <color rgb="FF1CA422"/>
      </bottom>
      <diagonal/>
    </border>
    <border>
      <left style="thin">
        <color rgb="FF1CA422"/>
      </left>
      <right style="thin">
        <color rgb="FF1CA422"/>
      </right>
      <top style="medium">
        <color rgb="FF1CA422"/>
      </top>
      <bottom style="thin">
        <color rgb="FF1CA422"/>
      </bottom>
      <diagonal/>
    </border>
    <border>
      <left style="medium">
        <color rgb="FF1CA422"/>
      </left>
      <right style="thin">
        <color rgb="FF1CA422"/>
      </right>
      <top style="thin">
        <color rgb="FF1CA422"/>
      </top>
      <bottom/>
      <diagonal/>
    </border>
    <border>
      <left style="thin">
        <color rgb="FF1CA422"/>
      </left>
      <right style="medium">
        <color rgb="FF1CA422"/>
      </right>
      <top style="thin">
        <color rgb="FF1CA422"/>
      </top>
      <bottom/>
      <diagonal/>
    </border>
    <border>
      <left style="thin">
        <color rgb="FF1CA422"/>
      </left>
      <right style="thin">
        <color rgb="FF1CA422"/>
      </right>
      <top/>
      <bottom/>
      <diagonal/>
    </border>
    <border>
      <left/>
      <right style="thin">
        <color rgb="FF1CA422"/>
      </right>
      <top/>
      <bottom style="thin">
        <color rgb="FF1CA4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rgb="FF1919FF"/>
      </left>
      <right style="thin">
        <color rgb="FF1919FF"/>
      </right>
      <top style="thin">
        <color rgb="FF1919FF"/>
      </top>
      <bottom style="thin">
        <color rgb="FF1919FF"/>
      </bottom>
      <diagonal/>
    </border>
    <border>
      <left style="thin">
        <color rgb="FF1919FF"/>
      </left>
      <right/>
      <top style="thin">
        <color rgb="FF1919FF"/>
      </top>
      <bottom style="thin">
        <color rgb="FF1919FF"/>
      </bottom>
      <diagonal/>
    </border>
    <border>
      <left/>
      <right style="thin">
        <color rgb="FF1CA422"/>
      </right>
      <top style="thin">
        <color rgb="FF1CA422"/>
      </top>
      <bottom/>
      <diagonal/>
    </border>
    <border>
      <left/>
      <right style="thick">
        <color rgb="FF1CA422"/>
      </right>
      <top style="thick">
        <color rgb="FF1CA422"/>
      </top>
      <bottom/>
      <diagonal/>
    </border>
    <border>
      <left style="thick">
        <color rgb="FF1CA422"/>
      </left>
      <right/>
      <top style="thick">
        <color rgb="FF1CA422"/>
      </top>
      <bottom/>
      <diagonal/>
    </border>
    <border>
      <left style="medium">
        <color rgb="FF1CA422"/>
      </left>
      <right style="medium">
        <color rgb="FF1CA422"/>
      </right>
      <top style="thick">
        <color rgb="FF1CA42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rgb="FF1CA422"/>
      </left>
      <right style="thick">
        <color rgb="FF1CA42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1919FF"/>
      </left>
      <right/>
      <top style="thin">
        <color rgb="FF1919FF"/>
      </top>
      <bottom/>
      <diagonal/>
    </border>
    <border>
      <left style="thin">
        <color rgb="FF1919FF"/>
      </left>
      <right style="thin">
        <color rgb="FF1919FF"/>
      </right>
      <top style="thin">
        <color rgb="FF1919FF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34998626667073579"/>
      </right>
      <top style="medium">
        <color theme="0" tint="-0.499984740745262"/>
      </top>
      <bottom/>
      <diagonal/>
    </border>
    <border>
      <left style="thin">
        <color theme="0" tint="-0.34998626667073579"/>
      </left>
      <right/>
      <top style="medium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499984740745262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499984740745262"/>
      </right>
      <top style="medium">
        <color theme="0" tint="-0.499984740745262"/>
      </top>
      <bottom style="thin">
        <color theme="0" tint="-0.34998626667073579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/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rgb="FF008DF6"/>
      </left>
      <right style="thin">
        <color rgb="FF008DF6"/>
      </right>
      <top style="thin">
        <color rgb="FF008DF6"/>
      </top>
      <bottom style="thin">
        <color rgb="FF008DF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theme="0" tint="-0.499984740745262"/>
      </right>
      <top/>
      <bottom/>
      <diagonal/>
    </border>
    <border>
      <left style="thin">
        <color rgb="FF008DF6"/>
      </left>
      <right/>
      <top style="thin">
        <color rgb="FF008DF6"/>
      </top>
      <bottom style="thin">
        <color rgb="FF008DF6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34998626667073579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499984740745262"/>
      </right>
      <top style="medium">
        <color theme="0" tint="-0.499984740745262"/>
      </top>
      <bottom style="thin">
        <color theme="0" tint="-0.34998626667073579"/>
      </bottom>
      <diagonal/>
    </border>
    <border>
      <left style="medium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499984740745262"/>
      </left>
      <right/>
      <top style="thin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 style="thin">
        <color theme="0" tint="-0.34998626667073579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34998626667073579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34998626667073579"/>
      </bottom>
      <diagonal/>
    </border>
    <border>
      <left style="medium">
        <color theme="0" tint="-0.499984740745262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49998474074526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499984740745262"/>
      </left>
      <right/>
      <top style="medium">
        <color theme="0" tint="-0.34998626667073579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34998626667073579"/>
      </top>
      <bottom style="medium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34998626667073579"/>
      </top>
      <bottom style="medium">
        <color theme="0" tint="-0.499984740745262"/>
      </bottom>
      <diagonal/>
    </border>
    <border>
      <left style="dotted">
        <color rgb="FF2C7688"/>
      </left>
      <right/>
      <top style="dotted">
        <color rgb="FF2C7688"/>
      </top>
      <bottom style="dotted">
        <color rgb="FF2C7688"/>
      </bottom>
      <diagonal/>
    </border>
    <border>
      <left/>
      <right/>
      <top style="dotted">
        <color rgb="FF2C7688"/>
      </top>
      <bottom style="dotted">
        <color rgb="FF2C7688"/>
      </bottom>
      <diagonal/>
    </border>
    <border>
      <left/>
      <right style="dotted">
        <color rgb="FF2C7688"/>
      </right>
      <top style="dotted">
        <color rgb="FF2C7688"/>
      </top>
      <bottom style="dotted">
        <color rgb="FF2C7688"/>
      </bottom>
      <diagonal/>
    </border>
    <border>
      <left/>
      <right style="medium">
        <color rgb="FF1CA422"/>
      </right>
      <top/>
      <bottom style="medium">
        <color rgb="FF1CA4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rgb="FF31869B"/>
      </left>
      <right style="thin">
        <color rgb="FF31869B"/>
      </right>
      <top style="thin">
        <color rgb="FF31869B"/>
      </top>
      <bottom style="thin">
        <color rgb="FF31869B"/>
      </bottom>
      <diagonal/>
    </border>
    <border>
      <left style="thin">
        <color rgb="FF008DF6"/>
      </left>
      <right style="thin">
        <color rgb="FF008DF6"/>
      </right>
      <top style="thin">
        <color rgb="FF008DF6"/>
      </top>
      <bottom/>
      <diagonal/>
    </border>
    <border>
      <left style="thin">
        <color rgb="FF008DF6"/>
      </left>
      <right/>
      <top style="thin">
        <color rgb="FF008DF6"/>
      </top>
      <bottom/>
      <diagonal/>
    </border>
    <border>
      <left style="medium">
        <color rgb="FF31869B"/>
      </left>
      <right/>
      <top style="medium">
        <color rgb="FF31869B"/>
      </top>
      <bottom/>
      <diagonal/>
    </border>
    <border>
      <left/>
      <right/>
      <top style="medium">
        <color rgb="FF31869B"/>
      </top>
      <bottom/>
      <diagonal/>
    </border>
    <border>
      <left/>
      <right style="medium">
        <color rgb="FF31869B"/>
      </right>
      <top style="medium">
        <color rgb="FF31869B"/>
      </top>
      <bottom/>
      <diagonal/>
    </border>
    <border>
      <left style="medium">
        <color rgb="FF31869B"/>
      </left>
      <right/>
      <top/>
      <bottom style="medium">
        <color rgb="FF31869B"/>
      </bottom>
      <diagonal/>
    </border>
    <border>
      <left/>
      <right/>
      <top/>
      <bottom style="medium">
        <color rgb="FF31869B"/>
      </bottom>
      <diagonal/>
    </border>
    <border>
      <left/>
      <right style="medium">
        <color rgb="FF31869B"/>
      </right>
      <top/>
      <bottom style="medium">
        <color rgb="FF31869B"/>
      </bottom>
      <diagonal/>
    </border>
    <border>
      <left style="medium">
        <color rgb="FF31869B"/>
      </left>
      <right style="medium">
        <color rgb="FF31869B"/>
      </right>
      <top style="medium">
        <color rgb="FF31869B"/>
      </top>
      <bottom/>
      <diagonal/>
    </border>
    <border>
      <left style="medium">
        <color rgb="FF31869B"/>
      </left>
      <right style="medium">
        <color rgb="FF31869B"/>
      </right>
      <top/>
      <bottom style="medium">
        <color rgb="FF31869B"/>
      </bottom>
      <diagonal/>
    </border>
    <border>
      <left style="medium">
        <color rgb="FF31869B"/>
      </left>
      <right style="thin">
        <color theme="0" tint="-0.499984740745262"/>
      </right>
      <top style="medium">
        <color rgb="FF31869B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rgb="FF31869B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rgb="FF31869B"/>
      </right>
      <top style="medium">
        <color rgb="FF31869B"/>
      </top>
      <bottom style="thin">
        <color theme="0" tint="-0.499984740745262"/>
      </bottom>
      <diagonal/>
    </border>
    <border>
      <left style="medium">
        <color rgb="FF31869B"/>
      </left>
      <right style="thin">
        <color theme="0" tint="-0.499984740745262"/>
      </right>
      <top style="thin">
        <color theme="0" tint="-0.499984740745262"/>
      </top>
      <bottom style="medium">
        <color rgb="FF31869B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rgb="FF31869B"/>
      </bottom>
      <diagonal/>
    </border>
    <border>
      <left style="thin">
        <color theme="0" tint="-0.499984740745262"/>
      </left>
      <right style="medium">
        <color rgb="FF31869B"/>
      </right>
      <top style="thin">
        <color theme="0" tint="-0.499984740745262"/>
      </top>
      <bottom style="medium">
        <color rgb="FF31869B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499984740745262"/>
      </right>
      <top/>
      <bottom style="thin">
        <color theme="0" tint="-0.34998626667073579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34998626667073579"/>
      </bottom>
      <diagonal/>
    </border>
    <border>
      <left style="medium">
        <color theme="0" tint="-0.499984740745262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499984740745262"/>
      </top>
      <bottom/>
      <diagonal/>
    </border>
    <border>
      <left style="medium">
        <color rgb="FF31869B"/>
      </left>
      <right/>
      <top style="medium">
        <color rgb="FF31869B"/>
      </top>
      <bottom style="medium">
        <color rgb="FF31869B"/>
      </bottom>
      <diagonal/>
    </border>
    <border>
      <left/>
      <right style="medium">
        <color rgb="FF31869B"/>
      </right>
      <top style="medium">
        <color rgb="FF31869B"/>
      </top>
      <bottom style="medium">
        <color rgb="FF31869B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8DF6"/>
      </left>
      <right style="thin">
        <color rgb="FF008DF6"/>
      </right>
      <top/>
      <bottom style="thin">
        <color rgb="FF008DF6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31869B"/>
      </left>
      <right/>
      <top style="thin">
        <color rgb="FF31869B"/>
      </top>
      <bottom style="thin">
        <color rgb="FF31869B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/>
      <top/>
      <bottom/>
      <diagonal/>
    </border>
  </borders>
  <cellStyleXfs count="5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0" fontId="21" fillId="0" borderId="21" applyNumberFormat="0" applyFill="0" applyAlignment="0" applyProtection="0"/>
    <xf numFmtId="0" fontId="22" fillId="0" borderId="22" applyNumberFormat="0" applyFill="0" applyAlignment="0" applyProtection="0"/>
    <xf numFmtId="0" fontId="23" fillId="0" borderId="23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7" fillId="13" borderId="24" applyNumberFormat="0" applyAlignment="0" applyProtection="0"/>
    <xf numFmtId="0" fontId="28" fillId="14" borderId="25" applyNumberFormat="0" applyAlignment="0" applyProtection="0"/>
    <xf numFmtId="0" fontId="29" fillId="14" borderId="24" applyNumberFormat="0" applyAlignment="0" applyProtection="0"/>
    <xf numFmtId="0" fontId="30" fillId="0" borderId="26" applyNumberFormat="0" applyFill="0" applyAlignment="0" applyProtection="0"/>
    <xf numFmtId="0" fontId="2" fillId="15" borderId="27" applyNumberFormat="0" applyAlignment="0" applyProtection="0"/>
    <xf numFmtId="0" fontId="31" fillId="0" borderId="0" applyNumberFormat="0" applyFill="0" applyBorder="0" applyAlignment="0" applyProtection="0"/>
    <xf numFmtId="0" fontId="1" fillId="16" borderId="28" applyNumberFormat="0" applyFont="0" applyAlignment="0" applyProtection="0"/>
    <xf numFmtId="0" fontId="32" fillId="0" borderId="0" applyNumberFormat="0" applyFill="0" applyBorder="0" applyAlignment="0" applyProtection="0"/>
    <xf numFmtId="0" fontId="13" fillId="0" borderId="29" applyNumberFormat="0" applyFill="0" applyAlignment="0" applyProtection="0"/>
    <xf numFmtId="0" fontId="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3" fillId="40" borderId="0" applyNumberFormat="0" applyBorder="0" applyAlignment="0" applyProtection="0"/>
    <xf numFmtId="0" fontId="3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2">
    <xf numFmtId="0" fontId="0" fillId="0" borderId="0" xfId="0"/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top"/>
    </xf>
    <xf numFmtId="0" fontId="2" fillId="0" borderId="0" xfId="0" applyFont="1"/>
    <xf numFmtId="0" fontId="36" fillId="0" borderId="0" xfId="0" applyFont="1" applyAlignment="1">
      <alignment horizontal="left" vertical="top" indent="2"/>
    </xf>
    <xf numFmtId="0" fontId="15" fillId="2" borderId="31" xfId="10" applyFont="1" applyFill="1" applyBorder="1" applyAlignment="1" applyProtection="1">
      <alignment horizontal="center"/>
      <protection hidden="1"/>
    </xf>
    <xf numFmtId="0" fontId="15" fillId="2" borderId="32" xfId="10" applyFont="1" applyFill="1" applyBorder="1" applyAlignment="1" applyProtection="1">
      <alignment horizontal="center"/>
      <protection hidden="1"/>
    </xf>
    <xf numFmtId="0" fontId="15" fillId="2" borderId="32" xfId="10" applyFont="1" applyFill="1" applyBorder="1" applyAlignment="1" applyProtection="1">
      <alignment horizontal="center" wrapText="1"/>
      <protection hidden="1"/>
    </xf>
    <xf numFmtId="43" fontId="15" fillId="2" borderId="32" xfId="11" applyFont="1" applyFill="1" applyBorder="1" applyAlignment="1" applyProtection="1">
      <alignment horizontal="center"/>
      <protection hidden="1"/>
    </xf>
    <xf numFmtId="0" fontId="12" fillId="2" borderId="32" xfId="10" applyFont="1" applyFill="1" applyBorder="1" applyAlignment="1" applyProtection="1">
      <alignment horizontal="center" wrapText="1"/>
      <protection hidden="1"/>
    </xf>
    <xf numFmtId="0" fontId="12" fillId="42" borderId="32" xfId="10" applyFont="1" applyFill="1" applyBorder="1" applyAlignment="1" applyProtection="1">
      <alignment horizontal="center" wrapText="1"/>
      <protection hidden="1"/>
    </xf>
    <xf numFmtId="0" fontId="12" fillId="41" borderId="32" xfId="10" applyFont="1" applyFill="1" applyBorder="1" applyAlignment="1" applyProtection="1">
      <alignment horizontal="center" wrapText="1"/>
      <protection hidden="1"/>
    </xf>
    <xf numFmtId="0" fontId="14" fillId="2" borderId="33" xfId="10" applyFont="1" applyFill="1" applyBorder="1" applyAlignment="1" applyProtection="1">
      <alignment horizontal="center" wrapText="1"/>
      <protection hidden="1"/>
    </xf>
    <xf numFmtId="0" fontId="12" fillId="2" borderId="5" xfId="10" applyFont="1" applyFill="1" applyBorder="1" applyAlignment="1" applyProtection="1">
      <alignment horizontal="center" wrapText="1"/>
      <protection hidden="1"/>
    </xf>
    <xf numFmtId="0" fontId="12" fillId="2" borderId="10" xfId="10" applyFont="1" applyFill="1" applyBorder="1" applyAlignment="1" applyProtection="1">
      <alignment horizontal="center" wrapText="1"/>
      <protection hidden="1"/>
    </xf>
    <xf numFmtId="0" fontId="12" fillId="2" borderId="3" xfId="10" applyFont="1" applyFill="1" applyBorder="1" applyAlignment="1" applyProtection="1">
      <alignment horizontal="center" wrapText="1"/>
      <protection hidden="1"/>
    </xf>
    <xf numFmtId="0" fontId="0" fillId="0" borderId="0" xfId="0" applyProtection="1">
      <protection hidden="1"/>
    </xf>
    <xf numFmtId="0" fontId="15" fillId="2" borderId="34" xfId="10" applyFont="1" applyFill="1" applyBorder="1" applyAlignment="1" applyProtection="1">
      <alignment horizontal="center"/>
      <protection hidden="1"/>
    </xf>
    <xf numFmtId="0" fontId="15" fillId="2" borderId="12" xfId="10" applyFont="1" applyFill="1" applyBorder="1" applyAlignment="1" applyProtection="1">
      <alignment horizontal="center"/>
      <protection hidden="1"/>
    </xf>
    <xf numFmtId="0" fontId="15" fillId="2" borderId="12" xfId="10" applyFont="1" applyFill="1" applyBorder="1" applyAlignment="1" applyProtection="1">
      <alignment horizontal="center" wrapText="1"/>
      <protection hidden="1"/>
    </xf>
    <xf numFmtId="43" fontId="15" fillId="2" borderId="12" xfId="11" quotePrefix="1" applyFont="1" applyFill="1" applyBorder="1" applyAlignment="1" applyProtection="1">
      <alignment horizontal="center"/>
      <protection hidden="1"/>
    </xf>
    <xf numFmtId="0" fontId="12" fillId="2" borderId="12" xfId="10" applyFont="1" applyFill="1" applyBorder="1" applyAlignment="1" applyProtection="1">
      <alignment horizontal="center" wrapText="1"/>
      <protection hidden="1"/>
    </xf>
    <xf numFmtId="0" fontId="12" fillId="42" borderId="12" xfId="10" applyFont="1" applyFill="1" applyBorder="1" applyAlignment="1" applyProtection="1">
      <alignment horizontal="center" wrapText="1"/>
      <protection hidden="1"/>
    </xf>
    <xf numFmtId="0" fontId="12" fillId="41" borderId="12" xfId="10" applyFont="1" applyFill="1" applyBorder="1" applyAlignment="1" applyProtection="1">
      <alignment horizontal="center" wrapText="1"/>
      <protection hidden="1"/>
    </xf>
    <xf numFmtId="0" fontId="14" fillId="2" borderId="13" xfId="10" applyFont="1" applyFill="1" applyBorder="1" applyAlignment="1" applyProtection="1">
      <alignment horizontal="center" wrapText="1"/>
      <protection hidden="1"/>
    </xf>
    <xf numFmtId="0" fontId="12" fillId="2" borderId="16" xfId="10" applyFont="1" applyFill="1" applyBorder="1" applyAlignment="1" applyProtection="1">
      <alignment horizontal="center" wrapText="1"/>
      <protection hidden="1"/>
    </xf>
    <xf numFmtId="0" fontId="12" fillId="2" borderId="9" xfId="10" applyFont="1" applyFill="1" applyBorder="1" applyAlignment="1" applyProtection="1">
      <alignment horizontal="center" wrapText="1"/>
      <protection hidden="1"/>
    </xf>
    <xf numFmtId="0" fontId="12" fillId="2" borderId="1" xfId="10" applyFont="1" applyFill="1" applyBorder="1" applyAlignment="1" applyProtection="1">
      <alignment horizontal="center" wrapText="1"/>
      <protection hidden="1"/>
    </xf>
    <xf numFmtId="0" fontId="0" fillId="0" borderId="16" xfId="0" applyBorder="1" applyProtection="1">
      <protection hidden="1"/>
    </xf>
    <xf numFmtId="0" fontId="10" fillId="0" borderId="38" xfId="0" applyFont="1" applyBorder="1" applyProtection="1">
      <protection hidden="1"/>
    </xf>
    <xf numFmtId="0" fontId="10" fillId="0" borderId="49" xfId="0" applyFont="1" applyBorder="1" applyProtection="1">
      <protection hidden="1"/>
    </xf>
    <xf numFmtId="0" fontId="10" fillId="0" borderId="48" xfId="0" applyFont="1" applyBorder="1" applyProtection="1">
      <protection hidden="1"/>
    </xf>
    <xf numFmtId="0" fontId="10" fillId="0" borderId="39" xfId="0" applyFont="1" applyBorder="1" applyProtection="1">
      <protection hidden="1"/>
    </xf>
    <xf numFmtId="0" fontId="10" fillId="0" borderId="0" xfId="0" applyFont="1" applyProtection="1">
      <protection hidden="1"/>
    </xf>
    <xf numFmtId="0" fontId="16" fillId="2" borderId="17" xfId="10" applyFont="1" applyFill="1" applyBorder="1" applyProtection="1">
      <protection hidden="1"/>
    </xf>
    <xf numFmtId="0" fontId="10" fillId="0" borderId="36" xfId="0" applyFont="1" applyBorder="1" applyProtection="1">
      <protection hidden="1"/>
    </xf>
    <xf numFmtId="0" fontId="10" fillId="0" borderId="50" xfId="0" applyFont="1" applyBorder="1" applyProtection="1">
      <protection hidden="1"/>
    </xf>
    <xf numFmtId="0" fontId="16" fillId="0" borderId="17" xfId="10" applyFont="1" applyBorder="1" applyProtection="1">
      <protection hidden="1"/>
    </xf>
    <xf numFmtId="0" fontId="0" fillId="0" borderId="36" xfId="0" applyBorder="1" applyProtection="1">
      <protection hidden="1"/>
    </xf>
    <xf numFmtId="0" fontId="0" fillId="0" borderId="50" xfId="0" applyBorder="1" applyProtection="1">
      <protection hidden="1"/>
    </xf>
    <xf numFmtId="0" fontId="0" fillId="0" borderId="48" xfId="0" applyBorder="1" applyProtection="1">
      <protection hidden="1"/>
    </xf>
    <xf numFmtId="0" fontId="0" fillId="0" borderId="39" xfId="0" applyBorder="1" applyProtection="1">
      <protection hidden="1"/>
    </xf>
    <xf numFmtId="43" fontId="16" fillId="7" borderId="17" xfId="11" applyFont="1" applyFill="1" applyBorder="1" applyProtection="1">
      <protection hidden="1"/>
    </xf>
    <xf numFmtId="0" fontId="10" fillId="0" borderId="17" xfId="10" applyBorder="1" applyProtection="1">
      <protection hidden="1"/>
    </xf>
    <xf numFmtId="0" fontId="10" fillId="0" borderId="0" xfId="10" applyProtection="1">
      <protection hidden="1"/>
    </xf>
    <xf numFmtId="0" fontId="12" fillId="2" borderId="0" xfId="10" applyFont="1" applyFill="1" applyProtection="1">
      <protection hidden="1"/>
    </xf>
    <xf numFmtId="44" fontId="10" fillId="0" borderId="0" xfId="10" applyNumberForma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2" fillId="41" borderId="2" xfId="10" applyFont="1" applyFill="1" applyBorder="1" applyAlignment="1" applyProtection="1">
      <alignment horizontal="center" wrapText="1"/>
      <protection hidden="1"/>
    </xf>
    <xf numFmtId="0" fontId="6" fillId="0" borderId="0" xfId="0" applyFont="1" applyProtection="1">
      <protection hidden="1"/>
    </xf>
    <xf numFmtId="43" fontId="16" fillId="0" borderId="0" xfId="11" applyFont="1" applyFill="1" applyBorder="1" applyProtection="1">
      <protection hidden="1"/>
    </xf>
    <xf numFmtId="0" fontId="0" fillId="0" borderId="45" xfId="0" applyBorder="1" applyProtection="1">
      <protection hidden="1"/>
    </xf>
    <xf numFmtId="0" fontId="0" fillId="0" borderId="46" xfId="0" applyBorder="1" applyProtection="1">
      <protection hidden="1"/>
    </xf>
    <xf numFmtId="43" fontId="16" fillId="0" borderId="46" xfId="11" applyFont="1" applyFill="1" applyBorder="1" applyProtection="1">
      <protection hidden="1"/>
    </xf>
    <xf numFmtId="0" fontId="12" fillId="2" borderId="46" xfId="10" applyFont="1" applyFill="1" applyBorder="1" applyProtection="1">
      <protection hidden="1"/>
    </xf>
    <xf numFmtId="0" fontId="12" fillId="2" borderId="47" xfId="10" applyFont="1" applyFill="1" applyBorder="1" applyProtection="1">
      <protection hidden="1"/>
    </xf>
    <xf numFmtId="0" fontId="10" fillId="0" borderId="11" xfId="10" applyBorder="1" applyProtection="1">
      <protection hidden="1"/>
    </xf>
    <xf numFmtId="0" fontId="10" fillId="0" borderId="3" xfId="10" applyBorder="1" applyProtection="1">
      <protection hidden="1"/>
    </xf>
    <xf numFmtId="0" fontId="0" fillId="0" borderId="7" xfId="0" applyBorder="1" applyProtection="1">
      <protection hidden="1"/>
    </xf>
    <xf numFmtId="0" fontId="0" fillId="0" borderId="15" xfId="0" applyBorder="1" applyProtection="1">
      <protection hidden="1"/>
    </xf>
    <xf numFmtId="43" fontId="16" fillId="0" borderId="15" xfId="11" applyFont="1" applyFill="1" applyBorder="1" applyProtection="1">
      <protection hidden="1"/>
    </xf>
    <xf numFmtId="0" fontId="12" fillId="2" borderId="15" xfId="10" applyFont="1" applyFill="1" applyBorder="1" applyProtection="1">
      <protection hidden="1"/>
    </xf>
    <xf numFmtId="0" fontId="10" fillId="0" borderId="15" xfId="10" applyBorder="1" applyProtection="1">
      <protection hidden="1"/>
    </xf>
    <xf numFmtId="0" fontId="10" fillId="0" borderId="8" xfId="10" applyBorder="1" applyProtection="1">
      <protection hidden="1"/>
    </xf>
    <xf numFmtId="0" fontId="12" fillId="2" borderId="8" xfId="10" applyFont="1" applyFill="1" applyBorder="1" applyProtection="1">
      <protection hidden="1"/>
    </xf>
    <xf numFmtId="4" fontId="16" fillId="4" borderId="39" xfId="10" applyNumberFormat="1" applyFont="1" applyFill="1" applyBorder="1" applyProtection="1">
      <protection hidden="1"/>
    </xf>
    <xf numFmtId="0" fontId="16" fillId="6" borderId="39" xfId="10" applyFont="1" applyFill="1" applyBorder="1" applyProtection="1">
      <protection hidden="1"/>
    </xf>
    <xf numFmtId="4" fontId="16" fillId="4" borderId="42" xfId="10" applyNumberFormat="1" applyFont="1" applyFill="1" applyBorder="1" applyProtection="1">
      <protection hidden="1"/>
    </xf>
    <xf numFmtId="0" fontId="12" fillId="43" borderId="5" xfId="10" applyFont="1" applyFill="1" applyBorder="1" applyAlignment="1" applyProtection="1">
      <alignment horizontal="center" wrapText="1"/>
      <protection hidden="1"/>
    </xf>
    <xf numFmtId="0" fontId="42" fillId="45" borderId="53" xfId="10" applyFont="1" applyFill="1" applyBorder="1" applyAlignment="1">
      <alignment horizontal="center"/>
    </xf>
    <xf numFmtId="0" fontId="12" fillId="43" borderId="16" xfId="10" quotePrefix="1" applyFont="1" applyFill="1" applyBorder="1" applyAlignment="1" applyProtection="1">
      <alignment horizontal="center" wrapText="1"/>
      <protection hidden="1"/>
    </xf>
    <xf numFmtId="0" fontId="12" fillId="43" borderId="54" xfId="10" applyFont="1" applyFill="1" applyBorder="1" applyAlignment="1" applyProtection="1">
      <alignment horizontal="center" wrapText="1"/>
      <protection hidden="1"/>
    </xf>
    <xf numFmtId="0" fontId="12" fillId="43" borderId="55" xfId="10" applyFont="1" applyFill="1" applyBorder="1" applyAlignment="1" applyProtection="1">
      <alignment horizontal="center" wrapText="1"/>
      <protection hidden="1"/>
    </xf>
    <xf numFmtId="0" fontId="16" fillId="6" borderId="14" xfId="10" applyFont="1" applyFill="1" applyBorder="1" applyProtection="1">
      <protection hidden="1"/>
    </xf>
    <xf numFmtId="0" fontId="16" fillId="2" borderId="14" xfId="10" applyFont="1" applyFill="1" applyBorder="1" applyAlignment="1" applyProtection="1">
      <alignment horizontal="center"/>
      <protection hidden="1"/>
    </xf>
    <xf numFmtId="0" fontId="16" fillId="0" borderId="14" xfId="10" applyFont="1" applyBorder="1" applyProtection="1">
      <protection hidden="1"/>
    </xf>
    <xf numFmtId="0" fontId="16" fillId="0" borderId="18" xfId="10" applyFont="1" applyBorder="1" applyProtection="1">
      <protection hidden="1"/>
    </xf>
    <xf numFmtId="0" fontId="16" fillId="0" borderId="39" xfId="10" applyFont="1" applyBorder="1" applyProtection="1">
      <protection hidden="1"/>
    </xf>
    <xf numFmtId="166" fontId="16" fillId="0" borderId="39" xfId="10" applyNumberFormat="1" applyFont="1" applyBorder="1" applyProtection="1">
      <protection hidden="1"/>
    </xf>
    <xf numFmtId="0" fontId="10" fillId="0" borderId="20" xfId="0" applyFont="1" applyBorder="1" applyAlignment="1" applyProtection="1">
      <alignment wrapText="1"/>
      <protection hidden="1"/>
    </xf>
    <xf numFmtId="0" fontId="10" fillId="0" borderId="19" xfId="0" applyFont="1" applyBorder="1" applyAlignment="1" applyProtection="1">
      <alignment wrapText="1"/>
      <protection hidden="1"/>
    </xf>
    <xf numFmtId="0" fontId="0" fillId="0" borderId="19" xfId="0" applyBorder="1" applyProtection="1">
      <protection hidden="1"/>
    </xf>
    <xf numFmtId="0" fontId="10" fillId="0" borderId="19" xfId="0" applyFont="1" applyBorder="1" applyProtection="1">
      <protection hidden="1"/>
    </xf>
    <xf numFmtId="0" fontId="16" fillId="2" borderId="39" xfId="10" applyFont="1" applyFill="1" applyBorder="1" applyProtection="1">
      <protection hidden="1"/>
    </xf>
    <xf numFmtId="15" fontId="12" fillId="5" borderId="39" xfId="10" applyNumberFormat="1" applyFont="1" applyFill="1" applyBorder="1" applyProtection="1">
      <protection hidden="1"/>
    </xf>
    <xf numFmtId="15" fontId="12" fillId="7" borderId="39" xfId="10" applyNumberFormat="1" applyFont="1" applyFill="1" applyBorder="1" applyProtection="1">
      <protection hidden="1"/>
    </xf>
    <xf numFmtId="0" fontId="10" fillId="0" borderId="39" xfId="10" applyBorder="1" applyProtection="1">
      <protection hidden="1"/>
    </xf>
    <xf numFmtId="0" fontId="12" fillId="43" borderId="13" xfId="10" applyFont="1" applyFill="1" applyBorder="1" applyAlignment="1" applyProtection="1">
      <alignment horizontal="center" wrapText="1"/>
      <protection hidden="1"/>
    </xf>
    <xf numFmtId="0" fontId="16" fillId="2" borderId="37" xfId="10" applyFont="1" applyFill="1" applyBorder="1" applyAlignment="1" applyProtection="1">
      <alignment horizontal="center"/>
      <protection hidden="1"/>
    </xf>
    <xf numFmtId="4" fontId="16" fillId="46" borderId="51" xfId="10" applyNumberFormat="1" applyFont="1" applyFill="1" applyBorder="1" applyProtection="1">
      <protection hidden="1"/>
    </xf>
    <xf numFmtId="0" fontId="42" fillId="45" borderId="58" xfId="10" applyFont="1" applyFill="1" applyBorder="1" applyAlignment="1">
      <alignment horizontal="center"/>
    </xf>
    <xf numFmtId="0" fontId="15" fillId="2" borderId="32" xfId="10" applyFont="1" applyFill="1" applyBorder="1" applyAlignment="1" applyProtection="1">
      <alignment horizontal="center" vertical="center" wrapText="1"/>
      <protection hidden="1"/>
    </xf>
    <xf numFmtId="44" fontId="16" fillId="5" borderId="52" xfId="2" applyFont="1" applyFill="1" applyBorder="1" applyProtection="1">
      <protection hidden="1"/>
    </xf>
    <xf numFmtId="44" fontId="16" fillId="5" borderId="39" xfId="2" applyFont="1" applyFill="1" applyBorder="1" applyProtection="1">
      <protection hidden="1"/>
    </xf>
    <xf numFmtId="43" fontId="16" fillId="7" borderId="39" xfId="11" applyFont="1" applyFill="1" applyBorder="1" applyProtection="1">
      <protection hidden="1"/>
    </xf>
    <xf numFmtId="0" fontId="0" fillId="0" borderId="39" xfId="0" applyBorder="1" applyAlignment="1" applyProtection="1">
      <alignment horizontal="center"/>
      <protection hidden="1"/>
    </xf>
    <xf numFmtId="4" fontId="0" fillId="0" borderId="39" xfId="0" applyNumberFormat="1" applyBorder="1" applyProtection="1">
      <protection hidden="1"/>
    </xf>
    <xf numFmtId="0" fontId="0" fillId="0" borderId="39" xfId="0" applyBorder="1"/>
    <xf numFmtId="43" fontId="16" fillId="0" borderId="39" xfId="11" applyFont="1" applyFill="1" applyBorder="1" applyProtection="1">
      <protection hidden="1"/>
    </xf>
    <xf numFmtId="0" fontId="12" fillId="2" borderId="39" xfId="10" applyFont="1" applyFill="1" applyBorder="1" applyProtection="1">
      <protection hidden="1"/>
    </xf>
    <xf numFmtId="44" fontId="0" fillId="0" borderId="62" xfId="2" applyFont="1" applyBorder="1" applyProtection="1">
      <protection hidden="1"/>
    </xf>
    <xf numFmtId="0" fontId="0" fillId="0" borderId="60" xfId="0" applyBorder="1" applyProtection="1">
      <protection hidden="1"/>
    </xf>
    <xf numFmtId="44" fontId="0" fillId="0" borderId="63" xfId="2" applyFont="1" applyBorder="1" applyProtection="1">
      <protection hidden="1"/>
    </xf>
    <xf numFmtId="0" fontId="0" fillId="0" borderId="64" xfId="0" applyBorder="1" applyProtection="1">
      <protection hidden="1"/>
    </xf>
    <xf numFmtId="44" fontId="0" fillId="0" borderId="43" xfId="2" applyFont="1" applyBorder="1" applyProtection="1">
      <protection hidden="1"/>
    </xf>
    <xf numFmtId="0" fontId="0" fillId="0" borderId="64" xfId="0" applyBorder="1" applyAlignment="1" applyProtection="1">
      <alignment horizontal="right"/>
      <protection hidden="1"/>
    </xf>
    <xf numFmtId="0" fontId="0" fillId="0" borderId="59" xfId="0" applyBorder="1" applyProtection="1">
      <protection hidden="1"/>
    </xf>
    <xf numFmtId="44" fontId="0" fillId="0" borderId="41" xfId="0" applyNumberFormat="1" applyBorder="1" applyProtection="1">
      <protection hidden="1"/>
    </xf>
    <xf numFmtId="0" fontId="0" fillId="0" borderId="65" xfId="0" applyBorder="1" applyProtection="1">
      <protection hidden="1"/>
    </xf>
    <xf numFmtId="43" fontId="16" fillId="0" borderId="65" xfId="11" applyFont="1" applyFill="1" applyBorder="1" applyProtection="1">
      <protection hidden="1"/>
    </xf>
    <xf numFmtId="0" fontId="12" fillId="2" borderId="65" xfId="10" applyFont="1" applyFill="1" applyBorder="1" applyProtection="1">
      <protection hidden="1"/>
    </xf>
    <xf numFmtId="0" fontId="12" fillId="2" borderId="63" xfId="10" applyFont="1" applyFill="1" applyBorder="1" applyProtection="1">
      <protection hidden="1"/>
    </xf>
    <xf numFmtId="0" fontId="12" fillId="2" borderId="43" xfId="10" applyFont="1" applyFill="1" applyBorder="1" applyProtection="1">
      <protection hidden="1"/>
    </xf>
    <xf numFmtId="0" fontId="0" fillId="0" borderId="66" xfId="0" applyBorder="1" applyProtection="1">
      <protection hidden="1"/>
    </xf>
    <xf numFmtId="0" fontId="0" fillId="0" borderId="40" xfId="0" applyBorder="1" applyProtection="1">
      <protection hidden="1"/>
    </xf>
    <xf numFmtId="43" fontId="16" fillId="0" borderId="40" xfId="11" applyFont="1" applyFill="1" applyBorder="1" applyProtection="1">
      <protection hidden="1"/>
    </xf>
    <xf numFmtId="0" fontId="12" fillId="2" borderId="40" xfId="10" applyFont="1" applyFill="1" applyBorder="1" applyProtection="1">
      <protection hidden="1"/>
    </xf>
    <xf numFmtId="0" fontId="12" fillId="2" borderId="67" xfId="10" applyFont="1" applyFill="1" applyBorder="1" applyProtection="1">
      <protection hidden="1"/>
    </xf>
    <xf numFmtId="4" fontId="16" fillId="4" borderId="68" xfId="10" applyNumberFormat="1" applyFont="1" applyFill="1" applyBorder="1" applyProtection="1">
      <protection hidden="1"/>
    </xf>
    <xf numFmtId="4" fontId="16" fillId="4" borderId="51" xfId="10" applyNumberFormat="1" applyFont="1" applyFill="1" applyBorder="1" applyProtection="1">
      <protection hidden="1"/>
    </xf>
    <xf numFmtId="0" fontId="16" fillId="6" borderId="48" xfId="10" applyFont="1" applyFill="1" applyBorder="1" applyProtection="1">
      <protection hidden="1"/>
    </xf>
    <xf numFmtId="0" fontId="16" fillId="6" borderId="37" xfId="10" applyFont="1" applyFill="1" applyBorder="1" applyProtection="1">
      <protection hidden="1"/>
    </xf>
    <xf numFmtId="44" fontId="16" fillId="5" borderId="14" xfId="2" applyFont="1" applyFill="1" applyBorder="1" applyProtection="1">
      <protection hidden="1"/>
    </xf>
    <xf numFmtId="0" fontId="16" fillId="2" borderId="42" xfId="10" applyFont="1" applyFill="1" applyBorder="1" applyProtection="1">
      <protection hidden="1"/>
    </xf>
    <xf numFmtId="43" fontId="16" fillId="7" borderId="42" xfId="11" applyFont="1" applyFill="1" applyBorder="1" applyProtection="1">
      <protection hidden="1"/>
    </xf>
    <xf numFmtId="0" fontId="38" fillId="0" borderId="0" xfId="0" applyFont="1" applyProtection="1">
      <protection hidden="1"/>
    </xf>
    <xf numFmtId="0" fontId="16" fillId="0" borderId="70" xfId="10" applyFont="1" applyBorder="1" applyProtection="1">
      <protection hidden="1"/>
    </xf>
    <xf numFmtId="0" fontId="48" fillId="0" borderId="70" xfId="10" applyFont="1" applyBorder="1" applyProtection="1">
      <protection hidden="1"/>
    </xf>
    <xf numFmtId="0" fontId="39" fillId="3" borderId="70" xfId="10" applyFont="1" applyFill="1" applyBorder="1" applyProtection="1">
      <protection hidden="1"/>
    </xf>
    <xf numFmtId="0" fontId="16" fillId="2" borderId="70" xfId="10" applyFont="1" applyFill="1" applyBorder="1" applyProtection="1">
      <protection hidden="1"/>
    </xf>
    <xf numFmtId="43" fontId="48" fillId="7" borderId="70" xfId="11" applyFont="1" applyFill="1" applyBorder="1" applyProtection="1">
      <protection hidden="1"/>
    </xf>
    <xf numFmtId="4" fontId="39" fillId="46" borderId="70" xfId="10" applyNumberFormat="1" applyFont="1" applyFill="1" applyBorder="1" applyProtection="1">
      <protection hidden="1"/>
    </xf>
    <xf numFmtId="4" fontId="16" fillId="4" borderId="70" xfId="10" applyNumberFormat="1" applyFont="1" applyFill="1" applyBorder="1" applyProtection="1">
      <protection hidden="1"/>
    </xf>
    <xf numFmtId="44" fontId="39" fillId="5" borderId="70" xfId="2" applyFont="1" applyFill="1" applyBorder="1" applyProtection="1">
      <protection hidden="1"/>
    </xf>
    <xf numFmtId="0" fontId="39" fillId="6" borderId="70" xfId="10" applyFont="1" applyFill="1" applyBorder="1" applyProtection="1">
      <protection hidden="1"/>
    </xf>
    <xf numFmtId="44" fontId="16" fillId="5" borderId="70" xfId="2" applyFont="1" applyFill="1" applyBorder="1" applyProtection="1">
      <protection hidden="1"/>
    </xf>
    <xf numFmtId="0" fontId="16" fillId="6" borderId="70" xfId="10" applyFont="1" applyFill="1" applyBorder="1" applyProtection="1">
      <protection hidden="1"/>
    </xf>
    <xf numFmtId="15" fontId="12" fillId="7" borderId="70" xfId="10" applyNumberFormat="1" applyFont="1" applyFill="1" applyBorder="1" applyProtection="1">
      <protection hidden="1"/>
    </xf>
    <xf numFmtId="0" fontId="0" fillId="0" borderId="70" xfId="0" applyBorder="1" applyProtection="1">
      <protection hidden="1"/>
    </xf>
    <xf numFmtId="0" fontId="11" fillId="0" borderId="70" xfId="10" applyFont="1" applyBorder="1" applyProtection="1">
      <protection hidden="1"/>
    </xf>
    <xf numFmtId="0" fontId="52" fillId="0" borderId="17" xfId="10" applyFont="1" applyBorder="1" applyProtection="1">
      <protection hidden="1"/>
    </xf>
    <xf numFmtId="0" fontId="50" fillId="0" borderId="0" xfId="0" applyFont="1" applyProtection="1">
      <protection hidden="1"/>
    </xf>
    <xf numFmtId="165" fontId="20" fillId="0" borderId="0" xfId="1" applyNumberFormat="1" applyFont="1" applyFill="1" applyBorder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/>
      <protection hidden="1"/>
    </xf>
    <xf numFmtId="15" fontId="54" fillId="5" borderId="39" xfId="10" applyNumberFormat="1" applyFont="1" applyFill="1" applyBorder="1" applyProtection="1">
      <protection hidden="1"/>
    </xf>
    <xf numFmtId="15" fontId="54" fillId="7" borderId="39" xfId="10" applyNumberFormat="1" applyFont="1" applyFill="1" applyBorder="1" applyProtection="1">
      <protection hidden="1"/>
    </xf>
    <xf numFmtId="0" fontId="53" fillId="0" borderId="44" xfId="10" applyFont="1" applyBorder="1" applyProtection="1">
      <protection hidden="1"/>
    </xf>
    <xf numFmtId="0" fontId="16" fillId="0" borderId="36" xfId="10" applyFont="1" applyBorder="1" applyProtection="1">
      <protection hidden="1"/>
    </xf>
    <xf numFmtId="0" fontId="16" fillId="0" borderId="69" xfId="10" applyFont="1" applyBorder="1" applyProtection="1">
      <protection hidden="1"/>
    </xf>
    <xf numFmtId="0" fontId="16" fillId="0" borderId="48" xfId="10" applyFont="1" applyBorder="1" applyProtection="1">
      <protection hidden="1"/>
    </xf>
    <xf numFmtId="0" fontId="53" fillId="0" borderId="16" xfId="10" applyFont="1" applyBorder="1" applyProtection="1">
      <protection hidden="1"/>
    </xf>
    <xf numFmtId="0" fontId="52" fillId="0" borderId="35" xfId="10" applyFont="1" applyBorder="1" applyProtection="1">
      <protection hidden="1"/>
    </xf>
    <xf numFmtId="0" fontId="16" fillId="0" borderId="75" xfId="10" applyFont="1" applyBorder="1" applyProtection="1">
      <protection hidden="1"/>
    </xf>
    <xf numFmtId="0" fontId="16" fillId="2" borderId="40" xfId="10" applyFont="1" applyFill="1" applyBorder="1" applyProtection="1">
      <protection hidden="1"/>
    </xf>
    <xf numFmtId="43" fontId="16" fillId="7" borderId="40" xfId="11" applyFont="1" applyFill="1" applyBorder="1" applyProtection="1">
      <protection hidden="1"/>
    </xf>
    <xf numFmtId="0" fontId="16" fillId="0" borderId="40" xfId="10" applyFont="1" applyBorder="1" applyProtection="1">
      <protection hidden="1"/>
    </xf>
    <xf numFmtId="4" fontId="16" fillId="4" borderId="40" xfId="10" applyNumberFormat="1" applyFont="1" applyFill="1" applyBorder="1" applyProtection="1">
      <protection hidden="1"/>
    </xf>
    <xf numFmtId="44" fontId="16" fillId="5" borderId="40" xfId="2" applyFont="1" applyFill="1" applyBorder="1" applyProtection="1">
      <protection hidden="1"/>
    </xf>
    <xf numFmtId="0" fontId="16" fillId="6" borderId="40" xfId="10" applyFont="1" applyFill="1" applyBorder="1" applyProtection="1">
      <protection hidden="1"/>
    </xf>
    <xf numFmtId="0" fontId="0" fillId="0" borderId="76" xfId="0" applyBorder="1" applyProtection="1">
      <protection hidden="1"/>
    </xf>
    <xf numFmtId="0" fontId="0" fillId="0" borderId="77" xfId="0" applyBorder="1" applyProtection="1">
      <protection hidden="1"/>
    </xf>
    <xf numFmtId="0" fontId="0" fillId="0" borderId="78" xfId="0" applyBorder="1" applyProtection="1">
      <protection hidden="1"/>
    </xf>
    <xf numFmtId="0" fontId="0" fillId="0" borderId="75" xfId="0" applyBorder="1" applyProtection="1">
      <protection hidden="1"/>
    </xf>
    <xf numFmtId="0" fontId="10" fillId="0" borderId="40" xfId="0" applyFont="1" applyBorder="1" applyProtection="1">
      <protection hidden="1"/>
    </xf>
    <xf numFmtId="0" fontId="16" fillId="0" borderId="73" xfId="10" applyFont="1" applyBorder="1" applyProtection="1">
      <protection hidden="1"/>
    </xf>
    <xf numFmtId="0" fontId="16" fillId="2" borderId="73" xfId="10" applyFont="1" applyFill="1" applyBorder="1" applyProtection="1">
      <protection hidden="1"/>
    </xf>
    <xf numFmtId="4" fontId="16" fillId="4" borderId="73" xfId="10" applyNumberFormat="1" applyFont="1" applyFill="1" applyBorder="1" applyProtection="1">
      <protection hidden="1"/>
    </xf>
    <xf numFmtId="44" fontId="16" fillId="5" borderId="73" xfId="2" applyFont="1" applyFill="1" applyBorder="1" applyProtection="1">
      <protection hidden="1"/>
    </xf>
    <xf numFmtId="0" fontId="16" fillId="6" borderId="73" xfId="10" applyFont="1" applyFill="1" applyBorder="1" applyProtection="1">
      <protection hidden="1"/>
    </xf>
    <xf numFmtId="0" fontId="0" fillId="0" borderId="73" xfId="0" applyBorder="1" applyProtection="1">
      <protection hidden="1"/>
    </xf>
    <xf numFmtId="0" fontId="10" fillId="0" borderId="73" xfId="0" applyFont="1" applyBorder="1" applyProtection="1">
      <protection hidden="1"/>
    </xf>
    <xf numFmtId="0" fontId="46" fillId="0" borderId="73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74" xfId="0" applyBorder="1" applyProtection="1">
      <protection hidden="1"/>
    </xf>
    <xf numFmtId="170" fontId="62" fillId="2" borderId="0" xfId="2" applyNumberFormat="1" applyFont="1" applyFill="1" applyBorder="1" applyAlignment="1" applyProtection="1">
      <alignment horizontal="center" vertical="center"/>
      <protection hidden="1"/>
    </xf>
    <xf numFmtId="44" fontId="62" fillId="2" borderId="0" xfId="2" applyFont="1" applyFill="1" applyBorder="1" applyAlignment="1" applyProtection="1">
      <alignment horizontal="center" vertical="center"/>
      <protection hidden="1"/>
    </xf>
    <xf numFmtId="169" fontId="62" fillId="2" borderId="0" xfId="1" applyNumberFormat="1" applyFont="1" applyFill="1" applyBorder="1" applyAlignment="1" applyProtection="1">
      <alignment horizontal="center" vertical="center"/>
      <protection hidden="1"/>
    </xf>
    <xf numFmtId="44" fontId="64" fillId="2" borderId="0" xfId="2" applyFont="1" applyFill="1" applyBorder="1" applyAlignment="1" applyProtection="1">
      <alignment horizontal="center" vertical="center"/>
      <protection hidden="1"/>
    </xf>
    <xf numFmtId="0" fontId="55" fillId="0" borderId="0" xfId="0" applyFont="1"/>
    <xf numFmtId="14" fontId="0" fillId="0" borderId="0" xfId="0" applyNumberFormat="1"/>
    <xf numFmtId="0" fontId="71" fillId="0" borderId="0" xfId="0" applyFont="1"/>
    <xf numFmtId="0" fontId="34" fillId="0" borderId="0" xfId="0" applyFont="1"/>
    <xf numFmtId="44" fontId="4" fillId="51" borderId="83" xfId="2" applyFont="1" applyFill="1" applyBorder="1" applyAlignment="1" applyProtection="1">
      <alignment horizontal="center" vertical="center"/>
      <protection hidden="1"/>
    </xf>
    <xf numFmtId="44" fontId="4" fillId="51" borderId="82" xfId="2" applyFont="1" applyFill="1" applyBorder="1" applyAlignment="1" applyProtection="1">
      <alignment horizontal="center" vertical="center"/>
      <protection hidden="1"/>
    </xf>
    <xf numFmtId="43" fontId="20" fillId="0" borderId="0" xfId="1" applyFont="1" applyFill="1" applyBorder="1" applyAlignment="1" applyProtection="1">
      <alignment horizontal="right"/>
      <protection hidden="1"/>
    </xf>
    <xf numFmtId="43" fontId="62" fillId="2" borderId="0" xfId="1" applyFont="1" applyFill="1" applyBorder="1" applyAlignment="1" applyProtection="1">
      <alignment horizontal="right" vertical="center"/>
      <protection hidden="1"/>
    </xf>
    <xf numFmtId="43" fontId="62" fillId="2" borderId="0" xfId="1" applyFont="1" applyFill="1" applyBorder="1" applyAlignment="1" applyProtection="1">
      <alignment horizontal="center" vertical="center"/>
      <protection hidden="1"/>
    </xf>
    <xf numFmtId="4" fontId="17" fillId="8" borderId="70" xfId="0" applyNumberFormat="1" applyFont="1" applyFill="1" applyBorder="1" applyProtection="1">
      <protection locked="0"/>
    </xf>
    <xf numFmtId="4" fontId="64" fillId="0" borderId="80" xfId="1" applyNumberFormat="1" applyFont="1" applyFill="1" applyBorder="1" applyAlignment="1" applyProtection="1">
      <protection hidden="1"/>
    </xf>
    <xf numFmtId="44" fontId="64" fillId="0" borderId="80" xfId="2" applyFont="1" applyFill="1" applyBorder="1" applyAlignment="1" applyProtection="1">
      <alignment horizontal="center" vertical="center"/>
      <protection hidden="1"/>
    </xf>
    <xf numFmtId="0" fontId="16" fillId="2" borderId="30" xfId="10" applyFont="1" applyFill="1" applyBorder="1" applyProtection="1">
      <protection hidden="1"/>
    </xf>
    <xf numFmtId="43" fontId="16" fillId="7" borderId="30" xfId="11" applyFont="1" applyFill="1" applyBorder="1" applyProtection="1">
      <protection hidden="1"/>
    </xf>
    <xf numFmtId="44" fontId="16" fillId="5" borderId="56" xfId="2" applyFont="1" applyFill="1" applyBorder="1" applyProtection="1">
      <protection hidden="1"/>
    </xf>
    <xf numFmtId="44" fontId="16" fillId="5" borderId="61" xfId="2" applyFont="1" applyFill="1" applyBorder="1" applyProtection="1">
      <protection hidden="1"/>
    </xf>
    <xf numFmtId="0" fontId="16" fillId="6" borderId="18" xfId="10" applyFont="1" applyFill="1" applyBorder="1" applyProtection="1">
      <protection hidden="1"/>
    </xf>
    <xf numFmtId="4" fontId="16" fillId="46" borderId="57" xfId="10" applyNumberFormat="1" applyFont="1" applyFill="1" applyBorder="1" applyProtection="1">
      <protection hidden="1"/>
    </xf>
    <xf numFmtId="4" fontId="16" fillId="46" borderId="73" xfId="10" applyNumberFormat="1" applyFont="1" applyFill="1" applyBorder="1" applyProtection="1">
      <protection hidden="1"/>
    </xf>
    <xf numFmtId="44" fontId="16" fillId="3" borderId="14" xfId="12" applyFont="1" applyFill="1" applyBorder="1" applyProtection="1">
      <protection hidden="1"/>
    </xf>
    <xf numFmtId="0" fontId="0" fillId="0" borderId="97" xfId="0" applyBorder="1" applyProtection="1">
      <protection hidden="1"/>
    </xf>
    <xf numFmtId="43" fontId="39" fillId="7" borderId="90" xfId="11" applyFont="1" applyFill="1" applyBorder="1" applyProtection="1">
      <protection hidden="1"/>
    </xf>
    <xf numFmtId="0" fontId="16" fillId="0" borderId="98" xfId="10" applyFont="1" applyBorder="1" applyProtection="1">
      <protection hidden="1"/>
    </xf>
    <xf numFmtId="0" fontId="16" fillId="2" borderId="98" xfId="10" applyFont="1" applyFill="1" applyBorder="1" applyProtection="1">
      <protection hidden="1"/>
    </xf>
    <xf numFmtId="0" fontId="10" fillId="0" borderId="40" xfId="10" applyBorder="1" applyProtection="1">
      <protection hidden="1"/>
    </xf>
    <xf numFmtId="0" fontId="0" fillId="0" borderId="98" xfId="0" applyBorder="1" applyProtection="1">
      <protection hidden="1"/>
    </xf>
    <xf numFmtId="0" fontId="10" fillId="0" borderId="98" xfId="0" applyFont="1" applyBorder="1" applyProtection="1">
      <protection hidden="1"/>
    </xf>
    <xf numFmtId="0" fontId="46" fillId="0" borderId="98" xfId="0" applyFont="1" applyBorder="1" applyAlignment="1" applyProtection="1">
      <alignment horizontal="center"/>
      <protection hidden="1"/>
    </xf>
    <xf numFmtId="43" fontId="16" fillId="0" borderId="14" xfId="11" applyFont="1" applyFill="1" applyBorder="1" applyProtection="1">
      <protection hidden="1"/>
    </xf>
    <xf numFmtId="0" fontId="16" fillId="2" borderId="14" xfId="10" applyFont="1" applyFill="1" applyBorder="1" applyProtection="1">
      <protection hidden="1"/>
    </xf>
    <xf numFmtId="0" fontId="0" fillId="0" borderId="14" xfId="0" applyBorder="1" applyProtection="1">
      <protection hidden="1"/>
    </xf>
    <xf numFmtId="0" fontId="10" fillId="0" borderId="14" xfId="0" applyFont="1" applyBorder="1" applyProtection="1">
      <protection hidden="1"/>
    </xf>
    <xf numFmtId="0" fontId="10" fillId="9" borderId="14" xfId="10" applyFill="1" applyBorder="1" applyProtection="1">
      <protection hidden="1"/>
    </xf>
    <xf numFmtId="0" fontId="0" fillId="9" borderId="14" xfId="0" applyFill="1" applyBorder="1" applyProtection="1">
      <protection hidden="1"/>
    </xf>
    <xf numFmtId="4" fontId="0" fillId="0" borderId="14" xfId="0" applyNumberFormat="1" applyBorder="1" applyProtection="1">
      <protection hidden="1"/>
    </xf>
    <xf numFmtId="0" fontId="0" fillId="44" borderId="14" xfId="0" applyFill="1" applyBorder="1" applyAlignment="1" applyProtection="1">
      <alignment horizontal="center"/>
      <protection hidden="1"/>
    </xf>
    <xf numFmtId="43" fontId="16" fillId="9" borderId="14" xfId="11" applyFont="1" applyFill="1" applyBorder="1" applyProtection="1">
      <protection hidden="1"/>
    </xf>
    <xf numFmtId="0" fontId="12" fillId="9" borderId="14" xfId="10" applyFont="1" applyFill="1" applyBorder="1" applyProtection="1">
      <protection hidden="1"/>
    </xf>
    <xf numFmtId="44" fontId="10" fillId="9" borderId="14" xfId="10" applyNumberFormat="1" applyFill="1" applyBorder="1" applyProtection="1">
      <protection hidden="1"/>
    </xf>
    <xf numFmtId="0" fontId="12" fillId="2" borderId="14" xfId="10" applyFont="1" applyFill="1" applyBorder="1" applyProtection="1">
      <protection hidden="1"/>
    </xf>
    <xf numFmtId="0" fontId="10" fillId="0" borderId="14" xfId="10" applyBorder="1" applyProtection="1">
      <protection hidden="1"/>
    </xf>
    <xf numFmtId="0" fontId="10" fillId="9" borderId="99" xfId="10" applyFill="1" applyBorder="1" applyProtection="1">
      <protection hidden="1"/>
    </xf>
    <xf numFmtId="4" fontId="16" fillId="46" borderId="0" xfId="10" applyNumberFormat="1" applyFont="1" applyFill="1" applyProtection="1">
      <protection hidden="1"/>
    </xf>
    <xf numFmtId="4" fontId="16" fillId="46" borderId="52" xfId="10" applyNumberFormat="1" applyFont="1" applyFill="1" applyBorder="1" applyProtection="1">
      <protection hidden="1"/>
    </xf>
    <xf numFmtId="0" fontId="42" fillId="45" borderId="54" xfId="10" applyFont="1" applyFill="1" applyBorder="1" applyAlignment="1">
      <alignment horizontal="center"/>
    </xf>
    <xf numFmtId="0" fontId="42" fillId="45" borderId="101" xfId="10" applyFont="1" applyFill="1" applyBorder="1" applyAlignment="1" applyProtection="1">
      <alignment horizontal="center"/>
      <protection locked="0"/>
    </xf>
    <xf numFmtId="0" fontId="15" fillId="2" borderId="5" xfId="10" applyFont="1" applyFill="1" applyBorder="1" applyProtection="1">
      <protection hidden="1"/>
    </xf>
    <xf numFmtId="0" fontId="42" fillId="45" borderId="102" xfId="10" applyFont="1" applyFill="1" applyBorder="1" applyAlignment="1">
      <alignment horizontal="center"/>
    </xf>
    <xf numFmtId="43" fontId="15" fillId="2" borderId="5" xfId="11" applyFont="1" applyFill="1" applyBorder="1" applyAlignment="1" applyProtection="1">
      <alignment horizontal="center"/>
      <protection hidden="1"/>
    </xf>
    <xf numFmtId="0" fontId="15" fillId="2" borderId="5" xfId="10" applyFont="1" applyFill="1" applyBorder="1" applyAlignment="1" applyProtection="1">
      <alignment horizontal="center" wrapText="1"/>
      <protection hidden="1"/>
    </xf>
    <xf numFmtId="0" fontId="10" fillId="0" borderId="30" xfId="10" applyBorder="1" applyProtection="1">
      <protection hidden="1"/>
    </xf>
    <xf numFmtId="0" fontId="52" fillId="0" borderId="30" xfId="10" applyFont="1" applyBorder="1" applyProtection="1">
      <protection hidden="1"/>
    </xf>
    <xf numFmtId="0" fontId="16" fillId="0" borderId="30" xfId="10" applyFont="1" applyBorder="1" applyProtection="1">
      <protection hidden="1"/>
    </xf>
    <xf numFmtId="0" fontId="16" fillId="0" borderId="38" xfId="10" applyFont="1" applyBorder="1" applyProtection="1">
      <protection hidden="1"/>
    </xf>
    <xf numFmtId="0" fontId="16" fillId="0" borderId="14" xfId="0" applyFont="1" applyBorder="1" applyProtection="1">
      <protection hidden="1"/>
    </xf>
    <xf numFmtId="168" fontId="16" fillId="2" borderId="14" xfId="10" applyNumberFormat="1" applyFont="1" applyFill="1" applyBorder="1" applyProtection="1">
      <protection hidden="1"/>
    </xf>
    <xf numFmtId="43" fontId="16" fillId="0" borderId="14" xfId="1" applyFont="1" applyFill="1" applyBorder="1" applyProtection="1">
      <protection hidden="1"/>
    </xf>
    <xf numFmtId="2" fontId="16" fillId="0" borderId="14" xfId="10" applyNumberFormat="1" applyFont="1" applyBorder="1" applyProtection="1">
      <protection hidden="1"/>
    </xf>
    <xf numFmtId="0" fontId="17" fillId="0" borderId="14" xfId="0" applyFont="1" applyBorder="1" applyProtection="1">
      <protection hidden="1"/>
    </xf>
    <xf numFmtId="168" fontId="0" fillId="0" borderId="14" xfId="0" applyNumberFormat="1" applyBorder="1" applyProtection="1">
      <protection hidden="1"/>
    </xf>
    <xf numFmtId="0" fontId="11" fillId="0" borderId="14" xfId="10" applyFont="1" applyBorder="1" applyProtection="1">
      <protection hidden="1"/>
    </xf>
    <xf numFmtId="0" fontId="31" fillId="0" borderId="0" xfId="0" applyFont="1" applyProtection="1">
      <protection hidden="1"/>
    </xf>
    <xf numFmtId="4" fontId="17" fillId="8" borderId="80" xfId="0" applyNumberFormat="1" applyFont="1" applyFill="1" applyBorder="1" applyProtection="1">
      <protection locked="0"/>
    </xf>
    <xf numFmtId="43" fontId="39" fillId="0" borderId="14" xfId="11" applyFont="1" applyFill="1" applyBorder="1" applyProtection="1">
      <protection hidden="1"/>
    </xf>
    <xf numFmtId="15" fontId="12" fillId="0" borderId="39" xfId="10" applyNumberFormat="1" applyFont="1" applyBorder="1" applyProtection="1">
      <protection hidden="1"/>
    </xf>
    <xf numFmtId="15" fontId="12" fillId="0" borderId="40" xfId="10" applyNumberFormat="1" applyFont="1" applyBorder="1" applyProtection="1">
      <protection hidden="1"/>
    </xf>
    <xf numFmtId="0" fontId="41" fillId="52" borderId="0" xfId="0" applyFont="1" applyFill="1"/>
    <xf numFmtId="44" fontId="0" fillId="0" borderId="0" xfId="2" applyFont="1"/>
    <xf numFmtId="0" fontId="0" fillId="0" borderId="103" xfId="0" applyBorder="1" applyProtection="1">
      <protection hidden="1"/>
    </xf>
    <xf numFmtId="44" fontId="39" fillId="3" borderId="14" xfId="12" applyFont="1" applyFill="1" applyBorder="1" applyProtection="1">
      <protection hidden="1"/>
    </xf>
    <xf numFmtId="0" fontId="4" fillId="55" borderId="0" xfId="0" applyFont="1" applyFill="1" applyAlignment="1" applyProtection="1">
      <alignment horizontal="left" vertical="top"/>
      <protection hidden="1"/>
    </xf>
    <xf numFmtId="0" fontId="4" fillId="53" borderId="0" xfId="0" applyFont="1" applyFill="1" applyAlignment="1" applyProtection="1">
      <alignment horizontal="right" vertical="top"/>
      <protection hidden="1"/>
    </xf>
    <xf numFmtId="0" fontId="64" fillId="53" borderId="0" xfId="0" applyFont="1" applyFill="1" applyAlignment="1" applyProtection="1">
      <alignment horizontal="right" vertical="top"/>
      <protection hidden="1"/>
    </xf>
    <xf numFmtId="171" fontId="64" fillId="53" borderId="84" xfId="1" applyNumberFormat="1" applyFont="1" applyFill="1" applyBorder="1" applyAlignment="1" applyProtection="1">
      <alignment horizontal="center" vertical="center"/>
      <protection hidden="1"/>
    </xf>
    <xf numFmtId="173" fontId="64" fillId="53" borderId="79" xfId="1" applyNumberFormat="1" applyFont="1" applyFill="1" applyBorder="1" applyAlignment="1" applyProtection="1">
      <alignment horizontal="center" vertical="center"/>
      <protection hidden="1"/>
    </xf>
    <xf numFmtId="171" fontId="64" fillId="53" borderId="0" xfId="1" applyNumberFormat="1" applyFont="1" applyFill="1" applyBorder="1" applyAlignment="1" applyProtection="1">
      <alignment horizontal="center" vertical="center"/>
      <protection hidden="1"/>
    </xf>
    <xf numFmtId="173" fontId="64" fillId="53" borderId="0" xfId="0" applyNumberFormat="1" applyFont="1" applyFill="1" applyAlignment="1" applyProtection="1">
      <alignment horizontal="right" vertical="top"/>
      <protection hidden="1"/>
    </xf>
    <xf numFmtId="0" fontId="6" fillId="53" borderId="82" xfId="0" applyFont="1" applyFill="1" applyBorder="1" applyAlignment="1" applyProtection="1">
      <alignment horizontal="left" vertical="top"/>
      <protection hidden="1"/>
    </xf>
    <xf numFmtId="171" fontId="64" fillId="53" borderId="83" xfId="1" applyNumberFormat="1" applyFont="1" applyFill="1" applyBorder="1" applyAlignment="1" applyProtection="1">
      <alignment horizontal="center" vertical="center"/>
      <protection hidden="1"/>
    </xf>
    <xf numFmtId="173" fontId="64" fillId="53" borderId="0" xfId="1" applyNumberFormat="1" applyFont="1" applyFill="1" applyBorder="1" applyAlignment="1" applyProtection="1">
      <alignment horizontal="center" vertical="center"/>
      <protection hidden="1"/>
    </xf>
    <xf numFmtId="171" fontId="4" fillId="53" borderId="0" xfId="1" applyNumberFormat="1" applyFont="1" applyFill="1" applyBorder="1" applyAlignment="1" applyProtection="1">
      <alignment horizontal="center" vertical="center"/>
      <protection hidden="1"/>
    </xf>
    <xf numFmtId="43" fontId="64" fillId="53" borderId="0" xfId="0" applyNumberFormat="1" applyFont="1" applyFill="1" applyAlignment="1" applyProtection="1">
      <alignment horizontal="right" vertical="top"/>
      <protection hidden="1"/>
    </xf>
    <xf numFmtId="43" fontId="64" fillId="53" borderId="0" xfId="1" applyFont="1" applyFill="1" applyBorder="1" applyAlignment="1" applyProtection="1">
      <alignment horizontal="center" vertical="center"/>
      <protection hidden="1"/>
    </xf>
    <xf numFmtId="0" fontId="6" fillId="53" borderId="108" xfId="0" applyFont="1" applyFill="1" applyBorder="1" applyAlignment="1" applyProtection="1">
      <alignment horizontal="left" vertical="top"/>
      <protection hidden="1"/>
    </xf>
    <xf numFmtId="171" fontId="64" fillId="53" borderId="109" xfId="1" applyNumberFormat="1" applyFont="1" applyFill="1" applyBorder="1" applyAlignment="1" applyProtection="1">
      <alignment horizontal="center" vertical="center"/>
      <protection hidden="1"/>
    </xf>
    <xf numFmtId="173" fontId="64" fillId="53" borderId="110" xfId="1" applyNumberFormat="1" applyFont="1" applyFill="1" applyBorder="1" applyAlignment="1" applyProtection="1">
      <alignment horizontal="center" vertical="center"/>
      <protection hidden="1"/>
    </xf>
    <xf numFmtId="44" fontId="4" fillId="51" borderId="109" xfId="2" applyFont="1" applyFill="1" applyBorder="1" applyAlignment="1" applyProtection="1">
      <alignment horizontal="center" vertical="center"/>
      <protection hidden="1"/>
    </xf>
    <xf numFmtId="44" fontId="4" fillId="51" borderId="108" xfId="2" applyFont="1" applyFill="1" applyBorder="1" applyAlignment="1" applyProtection="1">
      <alignment horizontal="center" vertical="center"/>
      <protection hidden="1"/>
    </xf>
    <xf numFmtId="0" fontId="6" fillId="53" borderId="114" xfId="0" applyFont="1" applyFill="1" applyBorder="1" applyAlignment="1" applyProtection="1">
      <alignment horizontal="left" vertical="top"/>
      <protection hidden="1"/>
    </xf>
    <xf numFmtId="171" fontId="64" fillId="53" borderId="115" xfId="1" applyNumberFormat="1" applyFont="1" applyFill="1" applyBorder="1" applyAlignment="1" applyProtection="1">
      <alignment horizontal="center" vertical="center"/>
      <protection hidden="1"/>
    </xf>
    <xf numFmtId="173" fontId="64" fillId="53" borderId="116" xfId="1" applyNumberFormat="1" applyFont="1" applyFill="1" applyBorder="1" applyAlignment="1" applyProtection="1">
      <alignment horizontal="center" vertical="center"/>
      <protection hidden="1"/>
    </xf>
    <xf numFmtId="44" fontId="4" fillId="51" borderId="115" xfId="2" applyFont="1" applyFill="1" applyBorder="1" applyAlignment="1" applyProtection="1">
      <alignment horizontal="center" vertical="center"/>
      <protection hidden="1"/>
    </xf>
    <xf numFmtId="44" fontId="4" fillId="51" borderId="114" xfId="2" applyFont="1" applyFill="1" applyBorder="1" applyAlignment="1" applyProtection="1">
      <alignment horizontal="center" vertical="center"/>
      <protection hidden="1"/>
    </xf>
    <xf numFmtId="171" fontId="64" fillId="53" borderId="117" xfId="1" applyNumberFormat="1" applyFont="1" applyFill="1" applyBorder="1" applyAlignment="1" applyProtection="1">
      <alignment horizontal="center" vertical="center"/>
      <protection hidden="1"/>
    </xf>
    <xf numFmtId="0" fontId="8" fillId="56" borderId="106" xfId="0" applyFont="1" applyFill="1" applyBorder="1" applyAlignment="1" applyProtection="1">
      <alignment horizontal="center" vertical="center" wrapText="1"/>
      <protection hidden="1"/>
    </xf>
    <xf numFmtId="169" fontId="64" fillId="53" borderId="0" xfId="0" applyNumberFormat="1" applyFont="1" applyFill="1" applyAlignment="1" applyProtection="1">
      <alignment horizontal="right" vertical="top"/>
      <protection hidden="1"/>
    </xf>
    <xf numFmtId="0" fontId="64" fillId="53" borderId="83" xfId="0" applyFont="1" applyFill="1" applyBorder="1" applyAlignment="1" applyProtection="1">
      <alignment horizontal="right" vertical="top"/>
      <protection hidden="1"/>
    </xf>
    <xf numFmtId="0" fontId="37" fillId="53" borderId="0" xfId="0" applyFont="1" applyFill="1" applyAlignment="1" applyProtection="1">
      <alignment horizontal="left" vertical="top"/>
      <protection hidden="1"/>
    </xf>
    <xf numFmtId="44" fontId="64" fillId="53" borderId="0" xfId="2" applyFont="1" applyFill="1" applyBorder="1" applyAlignment="1" applyProtection="1">
      <alignment horizontal="right" vertical="top"/>
      <protection hidden="1"/>
    </xf>
    <xf numFmtId="44" fontId="58" fillId="53" borderId="0" xfId="2" applyFont="1" applyFill="1" applyBorder="1" applyAlignment="1" applyProtection="1">
      <alignment horizontal="right" vertical="center"/>
      <protection hidden="1"/>
    </xf>
    <xf numFmtId="44" fontId="4" fillId="53" borderId="0" xfId="0" applyNumberFormat="1" applyFont="1" applyFill="1" applyAlignment="1" applyProtection="1">
      <alignment horizontal="right" vertical="top"/>
      <protection hidden="1"/>
    </xf>
    <xf numFmtId="7" fontId="2" fillId="53" borderId="0" xfId="2" applyNumberFormat="1" applyFont="1" applyFill="1" applyBorder="1" applyAlignment="1" applyProtection="1">
      <alignment horizontal="center" vertical="center"/>
      <protection hidden="1"/>
    </xf>
    <xf numFmtId="44" fontId="37" fillId="53" borderId="0" xfId="2" applyFont="1" applyFill="1" applyBorder="1" applyAlignment="1" applyProtection="1">
      <alignment horizontal="center" vertical="center"/>
      <protection hidden="1"/>
    </xf>
    <xf numFmtId="0" fontId="6" fillId="53" borderId="0" xfId="0" applyFont="1" applyFill="1" applyAlignment="1" applyProtection="1">
      <alignment horizontal="left" vertical="top"/>
      <protection hidden="1"/>
    </xf>
    <xf numFmtId="7" fontId="6" fillId="53" borderId="0" xfId="2" applyNumberFormat="1" applyFont="1" applyFill="1" applyBorder="1" applyAlignment="1" applyProtection="1">
      <alignment horizontal="center" vertical="center"/>
      <protection hidden="1"/>
    </xf>
    <xf numFmtId="44" fontId="4" fillId="57" borderId="111" xfId="2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locked="0"/>
    </xf>
    <xf numFmtId="0" fontId="0" fillId="0" borderId="105" xfId="0" applyBorder="1" applyProtection="1">
      <protection hidden="1"/>
    </xf>
    <xf numFmtId="0" fontId="16" fillId="0" borderId="103" xfId="10" applyFont="1" applyBorder="1" applyProtection="1">
      <protection hidden="1"/>
    </xf>
    <xf numFmtId="4" fontId="16" fillId="46" borderId="103" xfId="10" applyNumberFormat="1" applyFont="1" applyFill="1" applyBorder="1" applyProtection="1">
      <protection hidden="1"/>
    </xf>
    <xf numFmtId="4" fontId="16" fillId="4" borderId="103" xfId="10" applyNumberFormat="1" applyFont="1" applyFill="1" applyBorder="1" applyProtection="1">
      <protection hidden="1"/>
    </xf>
    <xf numFmtId="44" fontId="16" fillId="5" borderId="103" xfId="2" applyFont="1" applyFill="1" applyBorder="1" applyProtection="1">
      <protection hidden="1"/>
    </xf>
    <xf numFmtId="0" fontId="16" fillId="6" borderId="103" xfId="10" applyFont="1" applyFill="1" applyBorder="1" applyProtection="1">
      <protection hidden="1"/>
    </xf>
    <xf numFmtId="0" fontId="10" fillId="0" borderId="103" xfId="10" applyBorder="1" applyProtection="1">
      <protection hidden="1"/>
    </xf>
    <xf numFmtId="0" fontId="10" fillId="0" borderId="103" xfId="0" applyFont="1" applyBorder="1" applyProtection="1">
      <protection hidden="1"/>
    </xf>
    <xf numFmtId="0" fontId="10" fillId="0" borderId="103" xfId="0" applyFont="1" applyBorder="1" applyAlignment="1" applyProtection="1">
      <alignment horizontal="center" vertical="center"/>
      <protection hidden="1"/>
    </xf>
    <xf numFmtId="0" fontId="16" fillId="0" borderId="0" xfId="10" applyFont="1" applyProtection="1">
      <protection hidden="1"/>
    </xf>
    <xf numFmtId="2" fontId="16" fillId="6" borderId="39" xfId="10" applyNumberFormat="1" applyFont="1" applyFill="1" applyBorder="1" applyProtection="1">
      <protection hidden="1"/>
    </xf>
    <xf numFmtId="2" fontId="16" fillId="6" borderId="40" xfId="10" applyNumberFormat="1" applyFont="1" applyFill="1" applyBorder="1" applyProtection="1">
      <protection hidden="1"/>
    </xf>
    <xf numFmtId="0" fontId="16" fillId="0" borderId="105" xfId="10" applyFont="1" applyBorder="1" applyProtection="1">
      <protection hidden="1"/>
    </xf>
    <xf numFmtId="0" fontId="17" fillId="0" borderId="105" xfId="0" applyFont="1" applyBorder="1" applyProtection="1">
      <protection hidden="1"/>
    </xf>
    <xf numFmtId="4" fontId="16" fillId="46" borderId="105" xfId="10" applyNumberFormat="1" applyFont="1" applyFill="1" applyBorder="1" applyProtection="1">
      <protection hidden="1"/>
    </xf>
    <xf numFmtId="4" fontId="16" fillId="4" borderId="105" xfId="10" applyNumberFormat="1" applyFont="1" applyFill="1" applyBorder="1" applyProtection="1">
      <protection hidden="1"/>
    </xf>
    <xf numFmtId="44" fontId="16" fillId="5" borderId="105" xfId="2" applyFont="1" applyFill="1" applyBorder="1" applyProtection="1">
      <protection hidden="1"/>
    </xf>
    <xf numFmtId="0" fontId="16" fillId="6" borderId="105" xfId="10" applyFont="1" applyFill="1" applyBorder="1" applyProtection="1">
      <protection hidden="1"/>
    </xf>
    <xf numFmtId="0" fontId="10" fillId="0" borderId="105" xfId="10" applyBorder="1" applyProtection="1">
      <protection hidden="1"/>
    </xf>
    <xf numFmtId="0" fontId="10" fillId="0" borderId="105" xfId="0" applyFont="1" applyBorder="1" applyProtection="1">
      <protection hidden="1"/>
    </xf>
    <xf numFmtId="0" fontId="46" fillId="0" borderId="105" xfId="0" applyFont="1" applyBorder="1" applyAlignment="1" applyProtection="1">
      <alignment horizontal="center"/>
      <protection hidden="1"/>
    </xf>
    <xf numFmtId="0" fontId="16" fillId="0" borderId="123" xfId="10" applyFont="1" applyBorder="1" applyProtection="1">
      <protection hidden="1"/>
    </xf>
    <xf numFmtId="0" fontId="17" fillId="0" borderId="123" xfId="0" applyFont="1" applyBorder="1" applyProtection="1">
      <protection hidden="1"/>
    </xf>
    <xf numFmtId="0" fontId="0" fillId="0" borderId="123" xfId="0" applyBorder="1" applyProtection="1">
      <protection hidden="1"/>
    </xf>
    <xf numFmtId="4" fontId="16" fillId="46" borderId="123" xfId="10" applyNumberFormat="1" applyFont="1" applyFill="1" applyBorder="1" applyProtection="1">
      <protection hidden="1"/>
    </xf>
    <xf numFmtId="4" fontId="16" fillId="4" borderId="123" xfId="10" applyNumberFormat="1" applyFont="1" applyFill="1" applyBorder="1" applyProtection="1">
      <protection hidden="1"/>
    </xf>
    <xf numFmtId="44" fontId="16" fillId="5" borderId="123" xfId="2" applyFont="1" applyFill="1" applyBorder="1" applyProtection="1">
      <protection hidden="1"/>
    </xf>
    <xf numFmtId="0" fontId="16" fillId="6" borderId="123" xfId="10" applyFont="1" applyFill="1" applyBorder="1" applyProtection="1">
      <protection hidden="1"/>
    </xf>
    <xf numFmtId="0" fontId="10" fillId="0" borderId="123" xfId="10" applyBorder="1" applyProtection="1">
      <protection hidden="1"/>
    </xf>
    <xf numFmtId="0" fontId="10" fillId="0" borderId="123" xfId="0" applyFont="1" applyBorder="1" applyProtection="1">
      <protection hidden="1"/>
    </xf>
    <xf numFmtId="0" fontId="46" fillId="0" borderId="123" xfId="0" applyFont="1" applyBorder="1" applyAlignment="1" applyProtection="1">
      <alignment horizontal="center"/>
      <protection hidden="1"/>
    </xf>
    <xf numFmtId="0" fontId="47" fillId="0" borderId="100" xfId="0" applyFont="1" applyBorder="1" applyProtection="1">
      <protection hidden="1"/>
    </xf>
    <xf numFmtId="0" fontId="47" fillId="0" borderId="124" xfId="0" applyFont="1" applyBorder="1" applyProtection="1">
      <protection hidden="1"/>
    </xf>
    <xf numFmtId="0" fontId="0" fillId="44" borderId="104" xfId="0" applyFill="1" applyBorder="1" applyAlignment="1" applyProtection="1">
      <alignment horizontal="center"/>
      <protection hidden="1"/>
    </xf>
    <xf numFmtId="0" fontId="0" fillId="0" borderId="104" xfId="0" applyBorder="1" applyAlignment="1" applyProtection="1">
      <alignment horizontal="right"/>
      <protection hidden="1"/>
    </xf>
    <xf numFmtId="0" fontId="0" fillId="0" borderId="87" xfId="0" applyBorder="1" applyProtection="1">
      <protection hidden="1"/>
    </xf>
    <xf numFmtId="0" fontId="47" fillId="0" borderId="0" xfId="0" applyFont="1" applyProtection="1">
      <protection hidden="1"/>
    </xf>
    <xf numFmtId="0" fontId="0" fillId="0" borderId="125" xfId="0" applyBorder="1" applyProtection="1">
      <protection hidden="1"/>
    </xf>
    <xf numFmtId="0" fontId="35" fillId="9" borderId="100" xfId="10" applyFont="1" applyFill="1" applyBorder="1" applyProtection="1">
      <protection hidden="1"/>
    </xf>
    <xf numFmtId="0" fontId="39" fillId="9" borderId="100" xfId="10" applyFont="1" applyFill="1" applyBorder="1" applyProtection="1">
      <protection hidden="1"/>
    </xf>
    <xf numFmtId="0" fontId="10" fillId="9" borderId="100" xfId="10" applyFill="1" applyBorder="1" applyProtection="1">
      <protection hidden="1"/>
    </xf>
    <xf numFmtId="0" fontId="0" fillId="9" borderId="100" xfId="0" applyFill="1" applyBorder="1" applyProtection="1">
      <protection hidden="1"/>
    </xf>
    <xf numFmtId="4" fontId="16" fillId="46" borderId="127" xfId="10" applyNumberFormat="1" applyFont="1" applyFill="1" applyBorder="1" applyProtection="1">
      <protection hidden="1"/>
    </xf>
    <xf numFmtId="0" fontId="58" fillId="53" borderId="0" xfId="0" applyFont="1" applyFill="1" applyAlignment="1" applyProtection="1">
      <alignment horizontal="left" vertical="center"/>
      <protection hidden="1"/>
    </xf>
    <xf numFmtId="0" fontId="5" fillId="53" borderId="0" xfId="0" applyFont="1" applyFill="1" applyAlignment="1" applyProtection="1">
      <alignment vertical="center"/>
      <protection hidden="1"/>
    </xf>
    <xf numFmtId="0" fontId="74" fillId="53" borderId="0" xfId="0" applyFont="1" applyFill="1" applyAlignment="1" applyProtection="1">
      <alignment horizontal="right" vertical="top"/>
      <protection hidden="1"/>
    </xf>
    <xf numFmtId="173" fontId="64" fillId="53" borderId="129" xfId="1" applyNumberFormat="1" applyFont="1" applyFill="1" applyBorder="1" applyAlignment="1" applyProtection="1">
      <alignment horizontal="center" vertical="center"/>
      <protection hidden="1"/>
    </xf>
    <xf numFmtId="173" fontId="64" fillId="53" borderId="130" xfId="1" applyNumberFormat="1" applyFont="1" applyFill="1" applyBorder="1" applyAlignment="1" applyProtection="1">
      <alignment horizontal="center" vertical="center"/>
      <protection hidden="1"/>
    </xf>
    <xf numFmtId="44" fontId="58" fillId="53" borderId="0" xfId="2" applyFont="1" applyFill="1" applyBorder="1" applyAlignment="1" applyProtection="1">
      <alignment horizontal="center" vertical="center"/>
      <protection hidden="1"/>
    </xf>
    <xf numFmtId="0" fontId="75" fillId="53" borderId="0" xfId="0" applyFont="1" applyFill="1" applyAlignment="1" applyProtection="1">
      <alignment horizontal="center" vertical="center"/>
      <protection hidden="1"/>
    </xf>
    <xf numFmtId="173" fontId="64" fillId="53" borderId="87" xfId="1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center" vertical="top"/>
    </xf>
    <xf numFmtId="0" fontId="49" fillId="0" borderId="0" xfId="0" applyFont="1" applyAlignment="1">
      <alignment vertical="center"/>
    </xf>
    <xf numFmtId="0" fontId="0" fillId="0" borderId="18" xfId="0" applyBorder="1" applyProtection="1">
      <protection hidden="1"/>
    </xf>
    <xf numFmtId="0" fontId="0" fillId="0" borderId="0" xfId="0" applyAlignment="1">
      <alignment horizontal="center" vertical="center" wrapText="1"/>
    </xf>
    <xf numFmtId="0" fontId="80" fillId="0" borderId="81" xfId="0" applyFont="1" applyBorder="1" applyProtection="1">
      <protection hidden="1"/>
    </xf>
    <xf numFmtId="0" fontId="18" fillId="48" borderId="70" xfId="0" applyFont="1" applyFill="1" applyBorder="1" applyAlignment="1" applyProtection="1">
      <alignment horizontal="left"/>
      <protection hidden="1"/>
    </xf>
    <xf numFmtId="43" fontId="20" fillId="0" borderId="70" xfId="1" applyFont="1" applyFill="1" applyBorder="1" applyAlignment="1" applyProtection="1">
      <alignment horizontal="right"/>
      <protection hidden="1"/>
    </xf>
    <xf numFmtId="43" fontId="62" fillId="2" borderId="70" xfId="1" applyFont="1" applyFill="1" applyBorder="1" applyAlignment="1" applyProtection="1">
      <alignment horizontal="right" vertical="center"/>
      <protection hidden="1"/>
    </xf>
    <xf numFmtId="44" fontId="62" fillId="2" borderId="70" xfId="2" applyFont="1" applyFill="1" applyBorder="1" applyAlignment="1" applyProtection="1">
      <alignment horizontal="center" vertical="center"/>
      <protection hidden="1"/>
    </xf>
    <xf numFmtId="43" fontId="62" fillId="2" borderId="70" xfId="1" applyFont="1" applyFill="1" applyBorder="1" applyAlignment="1" applyProtection="1">
      <alignment horizontal="center" vertical="center"/>
      <protection hidden="1"/>
    </xf>
    <xf numFmtId="170" fontId="62" fillId="2" borderId="70" xfId="2" applyNumberFormat="1" applyFont="1" applyFill="1" applyBorder="1" applyAlignment="1" applyProtection="1">
      <alignment horizontal="center" vertical="center"/>
      <protection hidden="1"/>
    </xf>
    <xf numFmtId="44" fontId="64" fillId="2" borderId="70" xfId="2" applyFont="1" applyFill="1" applyBorder="1" applyAlignment="1" applyProtection="1">
      <alignment horizontal="center" vertical="center"/>
      <protection hidden="1"/>
    </xf>
    <xf numFmtId="0" fontId="57" fillId="0" borderId="89" xfId="0" applyFont="1" applyBorder="1" applyAlignment="1" applyProtection="1">
      <alignment horizontal="center"/>
      <protection hidden="1"/>
    </xf>
    <xf numFmtId="0" fontId="0" fillId="0" borderId="89" xfId="0" applyBorder="1" applyAlignment="1">
      <alignment horizontal="left"/>
    </xf>
    <xf numFmtId="4" fontId="20" fillId="0" borderId="70" xfId="0" applyNumberFormat="1" applyFont="1" applyBorder="1" applyAlignment="1" applyProtection="1">
      <alignment horizontal="center" vertical="center"/>
      <protection hidden="1"/>
    </xf>
    <xf numFmtId="165" fontId="67" fillId="0" borderId="87" xfId="1" applyNumberFormat="1" applyFont="1" applyFill="1" applyBorder="1" applyAlignment="1" applyProtection="1">
      <alignment horizontal="left"/>
      <protection hidden="1"/>
    </xf>
    <xf numFmtId="0" fontId="0" fillId="0" borderId="88" xfId="0" applyBorder="1"/>
    <xf numFmtId="0" fontId="0" fillId="0" borderId="89" xfId="0" applyBorder="1"/>
    <xf numFmtId="165" fontId="60" fillId="0" borderId="88" xfId="1" applyNumberFormat="1" applyFont="1" applyFill="1" applyBorder="1" applyAlignment="1" applyProtection="1">
      <alignment horizontal="right" vertical="center"/>
      <protection hidden="1"/>
    </xf>
    <xf numFmtId="44" fontId="19" fillId="0" borderId="88" xfId="2" applyFont="1" applyFill="1" applyBorder="1" applyAlignment="1" applyProtection="1">
      <protection hidden="1"/>
    </xf>
    <xf numFmtId="165" fontId="20" fillId="0" borderId="88" xfId="1" applyNumberFormat="1" applyFont="1" applyFill="1" applyBorder="1" applyAlignment="1" applyProtection="1">
      <alignment horizontal="center" vertical="center"/>
      <protection hidden="1"/>
    </xf>
    <xf numFmtId="44" fontId="20" fillId="0" borderId="70" xfId="2" applyFont="1" applyFill="1" applyBorder="1" applyAlignment="1" applyProtection="1">
      <alignment horizontal="center" vertical="center"/>
      <protection hidden="1"/>
    </xf>
    <xf numFmtId="1" fontId="6" fillId="53" borderId="0" xfId="1" applyNumberFormat="1" applyFont="1" applyFill="1" applyBorder="1" applyAlignment="1" applyProtection="1">
      <alignment horizontal="center" vertical="center"/>
      <protection hidden="1"/>
    </xf>
    <xf numFmtId="0" fontId="64" fillId="53" borderId="0" xfId="0" applyFont="1" applyFill="1" applyProtection="1">
      <protection hidden="1"/>
    </xf>
    <xf numFmtId="44" fontId="64" fillId="0" borderId="91" xfId="2" applyFont="1" applyFill="1" applyBorder="1" applyAlignment="1" applyProtection="1">
      <alignment horizontal="center" vertical="center"/>
      <protection hidden="1"/>
    </xf>
    <xf numFmtId="0" fontId="41" fillId="59" borderId="0" xfId="0" applyFont="1" applyFill="1"/>
    <xf numFmtId="0" fontId="6" fillId="59" borderId="0" xfId="0" applyFont="1" applyFill="1" applyAlignment="1" applyProtection="1">
      <alignment horizontal="right"/>
      <protection hidden="1"/>
    </xf>
    <xf numFmtId="0" fontId="34" fillId="59" borderId="0" xfId="0" applyFont="1" applyFill="1"/>
    <xf numFmtId="0" fontId="6" fillId="59" borderId="0" xfId="0" applyFont="1" applyFill="1" applyAlignment="1" applyProtection="1">
      <alignment horizontal="center" vertical="center"/>
      <protection hidden="1"/>
    </xf>
    <xf numFmtId="0" fontId="6" fillId="59" borderId="0" xfId="0" applyFont="1" applyFill="1" applyAlignment="1" applyProtection="1">
      <alignment horizontal="left" vertical="center"/>
      <protection hidden="1"/>
    </xf>
    <xf numFmtId="0" fontId="37" fillId="59" borderId="0" xfId="0" applyFont="1" applyFill="1" applyAlignment="1">
      <alignment horizontal="left" vertical="center"/>
    </xf>
    <xf numFmtId="4" fontId="64" fillId="0" borderId="70" xfId="1" applyNumberFormat="1" applyFont="1" applyFill="1" applyBorder="1" applyAlignment="1" applyProtection="1">
      <protection hidden="1"/>
    </xf>
    <xf numFmtId="0" fontId="8" fillId="60" borderId="118" xfId="0" applyFont="1" applyFill="1" applyBorder="1" applyAlignment="1" applyProtection="1">
      <alignment horizontal="center" vertical="center"/>
      <protection hidden="1"/>
    </xf>
    <xf numFmtId="0" fontId="8" fillId="60" borderId="121" xfId="0" applyFont="1" applyFill="1" applyBorder="1" applyAlignment="1" applyProtection="1">
      <alignment horizontal="center" vertical="center" wrapText="1"/>
      <protection hidden="1"/>
    </xf>
    <xf numFmtId="0" fontId="8" fillId="60" borderId="122" xfId="0" applyFont="1" applyFill="1" applyBorder="1" applyAlignment="1" applyProtection="1">
      <alignment horizontal="center" vertical="center" wrapText="1"/>
      <protection hidden="1"/>
    </xf>
    <xf numFmtId="0" fontId="8" fillId="61" borderId="106" xfId="0" applyFont="1" applyFill="1" applyBorder="1" applyAlignment="1" applyProtection="1">
      <alignment horizontal="center" vertical="center" wrapText="1"/>
      <protection hidden="1"/>
    </xf>
    <xf numFmtId="0" fontId="8" fillId="60" borderId="118" xfId="0" applyFont="1" applyFill="1" applyBorder="1" applyAlignment="1" applyProtection="1">
      <alignment horizontal="center" vertical="center" wrapText="1"/>
      <protection hidden="1"/>
    </xf>
    <xf numFmtId="44" fontId="0" fillId="0" borderId="0" xfId="0" applyNumberFormat="1"/>
    <xf numFmtId="44" fontId="4" fillId="57" borderId="140" xfId="2" applyFont="1" applyFill="1" applyBorder="1" applyAlignment="1" applyProtection="1">
      <alignment horizontal="center" vertical="center"/>
      <protection hidden="1"/>
    </xf>
    <xf numFmtId="169" fontId="6" fillId="53" borderId="107" xfId="0" applyNumberFormat="1" applyFont="1" applyFill="1" applyBorder="1" applyAlignment="1" applyProtection="1">
      <alignment horizontal="center" vertical="top"/>
      <protection hidden="1"/>
    </xf>
    <xf numFmtId="169" fontId="64" fillId="53" borderId="112" xfId="0" applyNumberFormat="1" applyFont="1" applyFill="1" applyBorder="1" applyAlignment="1" applyProtection="1">
      <alignment horizontal="right" vertical="top"/>
      <protection hidden="1"/>
    </xf>
    <xf numFmtId="169" fontId="64" fillId="53" borderId="113" xfId="0" applyNumberFormat="1" applyFont="1" applyFill="1" applyBorder="1" applyAlignment="1" applyProtection="1">
      <alignment horizontal="right" vertical="top"/>
      <protection hidden="1"/>
    </xf>
    <xf numFmtId="0" fontId="37" fillId="53" borderId="141" xfId="0" applyFont="1" applyFill="1" applyBorder="1" applyAlignment="1" applyProtection="1">
      <alignment horizontal="left" vertical="top"/>
      <protection hidden="1"/>
    </xf>
    <xf numFmtId="0" fontId="64" fillId="53" borderId="109" xfId="0" applyFont="1" applyFill="1" applyBorder="1" applyAlignment="1" applyProtection="1">
      <alignment horizontal="right" vertical="top"/>
      <protection hidden="1"/>
    </xf>
    <xf numFmtId="173" fontId="64" fillId="53" borderId="142" xfId="1" applyNumberFormat="1" applyFont="1" applyFill="1" applyBorder="1" applyAlignment="1" applyProtection="1">
      <alignment horizontal="center" vertical="center"/>
      <protection hidden="1"/>
    </xf>
    <xf numFmtId="0" fontId="37" fillId="53" borderId="143" xfId="0" applyFont="1" applyFill="1" applyBorder="1" applyAlignment="1" applyProtection="1">
      <alignment horizontal="left" vertical="top"/>
      <protection hidden="1"/>
    </xf>
    <xf numFmtId="173" fontId="64" fillId="53" borderId="144" xfId="1" applyNumberFormat="1" applyFont="1" applyFill="1" applyBorder="1" applyAlignment="1" applyProtection="1">
      <alignment horizontal="center" vertical="center"/>
      <protection hidden="1"/>
    </xf>
    <xf numFmtId="0" fontId="37" fillId="53" borderId="145" xfId="0" applyFont="1" applyFill="1" applyBorder="1" applyAlignment="1" applyProtection="1">
      <alignment horizontal="left" vertical="top"/>
      <protection hidden="1"/>
    </xf>
    <xf numFmtId="0" fontId="64" fillId="53" borderId="115" xfId="0" applyFont="1" applyFill="1" applyBorder="1" applyAlignment="1" applyProtection="1">
      <alignment horizontal="right" vertical="top"/>
      <protection hidden="1"/>
    </xf>
    <xf numFmtId="173" fontId="64" fillId="53" borderId="146" xfId="1" applyNumberFormat="1" applyFont="1" applyFill="1" applyBorder="1" applyAlignment="1" applyProtection="1">
      <alignment horizontal="center" vertical="center"/>
      <protection hidden="1"/>
    </xf>
    <xf numFmtId="0" fontId="64" fillId="53" borderId="117" xfId="0" applyFont="1" applyFill="1" applyBorder="1" applyAlignment="1" applyProtection="1">
      <alignment horizontal="right" vertical="top"/>
      <protection hidden="1"/>
    </xf>
    <xf numFmtId="0" fontId="64" fillId="53" borderId="126" xfId="0" applyFont="1" applyFill="1" applyBorder="1" applyAlignment="1" applyProtection="1">
      <alignment horizontal="right" vertical="top"/>
      <protection hidden="1"/>
    </xf>
    <xf numFmtId="0" fontId="6" fillId="53" borderId="148" xfId="0" applyFont="1" applyFill="1" applyBorder="1" applyAlignment="1" applyProtection="1">
      <alignment horizontal="left" vertical="top"/>
      <protection hidden="1"/>
    </xf>
    <xf numFmtId="0" fontId="6" fillId="53" borderId="149" xfId="0" applyFont="1" applyFill="1" applyBorder="1" applyAlignment="1" applyProtection="1">
      <alignment horizontal="left" vertical="top"/>
      <protection hidden="1"/>
    </xf>
    <xf numFmtId="173" fontId="64" fillId="53" borderId="151" xfId="1" applyNumberFormat="1" applyFont="1" applyFill="1" applyBorder="1" applyAlignment="1" applyProtection="1">
      <alignment horizontal="center" vertical="center"/>
      <protection hidden="1"/>
    </xf>
    <xf numFmtId="173" fontId="64" fillId="53" borderId="152" xfId="1" applyNumberFormat="1" applyFont="1" applyFill="1" applyBorder="1" applyAlignment="1" applyProtection="1">
      <alignment horizontal="center" vertical="center"/>
      <protection hidden="1"/>
    </xf>
    <xf numFmtId="0" fontId="64" fillId="53" borderId="132" xfId="0" applyFont="1" applyFill="1" applyBorder="1" applyAlignment="1" applyProtection="1">
      <alignment horizontal="left" vertical="top"/>
      <protection hidden="1"/>
    </xf>
    <xf numFmtId="0" fontId="64" fillId="53" borderId="138" xfId="0" applyFont="1" applyFill="1" applyBorder="1" applyAlignment="1" applyProtection="1">
      <alignment vertical="center"/>
      <protection hidden="1"/>
    </xf>
    <xf numFmtId="0" fontId="31" fillId="59" borderId="0" xfId="0" applyFont="1" applyFill="1"/>
    <xf numFmtId="0" fontId="6" fillId="59" borderId="0" xfId="0" applyFont="1" applyFill="1" applyAlignment="1">
      <alignment vertical="top"/>
    </xf>
    <xf numFmtId="44" fontId="4" fillId="51" borderId="159" xfId="2" applyFont="1" applyFill="1" applyBorder="1" applyAlignment="1" applyProtection="1">
      <alignment horizontal="center" vertical="center"/>
      <protection hidden="1"/>
    </xf>
    <xf numFmtId="44" fontId="37" fillId="53" borderId="164" xfId="2" applyFont="1" applyFill="1" applyBorder="1" applyAlignment="1" applyProtection="1">
      <alignment horizontal="center" vertical="center"/>
      <protection hidden="1"/>
    </xf>
    <xf numFmtId="44" fontId="37" fillId="53" borderId="166" xfId="2" applyFont="1" applyFill="1" applyBorder="1" applyAlignment="1" applyProtection="1">
      <alignment horizontal="center" vertical="center"/>
      <protection hidden="1"/>
    </xf>
    <xf numFmtId="44" fontId="37" fillId="53" borderId="167" xfId="2" applyFont="1" applyFill="1" applyBorder="1" applyAlignment="1" applyProtection="1">
      <alignment horizontal="center" vertical="center"/>
      <protection hidden="1"/>
    </xf>
    <xf numFmtId="0" fontId="2" fillId="63" borderId="70" xfId="0" applyFont="1" applyFill="1" applyBorder="1" applyProtection="1">
      <protection hidden="1"/>
    </xf>
    <xf numFmtId="0" fontId="0" fillId="65" borderId="73" xfId="0" applyFill="1" applyBorder="1" applyProtection="1">
      <protection hidden="1"/>
    </xf>
    <xf numFmtId="0" fontId="0" fillId="2" borderId="73" xfId="0" applyFill="1" applyBorder="1" applyProtection="1">
      <protection hidden="1"/>
    </xf>
    <xf numFmtId="0" fontId="0" fillId="2" borderId="48" xfId="0" applyFill="1" applyBorder="1" applyProtection="1">
      <protection hidden="1"/>
    </xf>
    <xf numFmtId="0" fontId="0" fillId="2" borderId="123" xfId="0" applyFill="1" applyBorder="1" applyProtection="1">
      <protection hidden="1"/>
    </xf>
    <xf numFmtId="43" fontId="16" fillId="2" borderId="73" xfId="11" applyFont="1" applyFill="1" applyBorder="1" applyProtection="1">
      <protection hidden="1"/>
    </xf>
    <xf numFmtId="43" fontId="16" fillId="66" borderId="123" xfId="11" applyFont="1" applyFill="1" applyBorder="1" applyProtection="1">
      <protection hidden="1"/>
    </xf>
    <xf numFmtId="15" fontId="54" fillId="5" borderId="42" xfId="10" applyNumberFormat="1" applyFont="1" applyFill="1" applyBorder="1" applyProtection="1">
      <protection hidden="1"/>
    </xf>
    <xf numFmtId="0" fontId="14" fillId="2" borderId="54" xfId="10" applyFont="1" applyFill="1" applyBorder="1" applyAlignment="1" applyProtection="1">
      <alignment horizontal="center"/>
      <protection hidden="1"/>
    </xf>
    <xf numFmtId="0" fontId="14" fillId="2" borderId="12" xfId="10" applyFont="1" applyFill="1" applyBorder="1" applyAlignment="1" applyProtection="1">
      <alignment horizontal="center"/>
      <protection hidden="1"/>
    </xf>
    <xf numFmtId="15" fontId="12" fillId="66" borderId="73" xfId="10" applyNumberFormat="1" applyFont="1" applyFill="1" applyBorder="1" applyProtection="1">
      <protection hidden="1"/>
    </xf>
    <xf numFmtId="15" fontId="12" fillId="66" borderId="39" xfId="10" applyNumberFormat="1" applyFont="1" applyFill="1" applyBorder="1" applyProtection="1">
      <protection hidden="1"/>
    </xf>
    <xf numFmtId="0" fontId="91" fillId="0" borderId="0" xfId="0" applyFont="1" applyAlignment="1" applyProtection="1">
      <alignment horizontal="right"/>
      <protection hidden="1"/>
    </xf>
    <xf numFmtId="0" fontId="91" fillId="0" borderId="0" xfId="0" quotePrefix="1" applyFont="1" applyProtection="1">
      <protection hidden="1"/>
    </xf>
    <xf numFmtId="0" fontId="92" fillId="0" borderId="0" xfId="0" applyFont="1" applyAlignment="1">
      <alignment vertical="center"/>
    </xf>
    <xf numFmtId="44" fontId="19" fillId="0" borderId="0" xfId="2" applyFont="1" applyFill="1" applyBorder="1" applyProtection="1">
      <protection hidden="1"/>
    </xf>
    <xf numFmtId="173" fontId="64" fillId="53" borderId="82" xfId="1" applyNumberFormat="1" applyFont="1" applyFill="1" applyBorder="1" applyAlignment="1" applyProtection="1">
      <alignment horizontal="center" vertical="center"/>
      <protection hidden="1"/>
    </xf>
    <xf numFmtId="173" fontId="64" fillId="53" borderId="159" xfId="1" applyNumberFormat="1" applyFont="1" applyFill="1" applyBorder="1" applyAlignment="1" applyProtection="1">
      <alignment horizontal="center" vertical="center"/>
      <protection hidden="1"/>
    </xf>
    <xf numFmtId="173" fontId="64" fillId="67" borderId="70" xfId="1" applyNumberFormat="1" applyFont="1" applyFill="1" applyBorder="1" applyAlignment="1" applyProtection="1">
      <alignment horizontal="center" vertical="center"/>
      <protection hidden="1"/>
    </xf>
    <xf numFmtId="0" fontId="0" fillId="0" borderId="127" xfId="0" applyBorder="1" applyProtection="1">
      <protection hidden="1"/>
    </xf>
    <xf numFmtId="173" fontId="64" fillId="67" borderId="172" xfId="1" applyNumberFormat="1" applyFont="1" applyFill="1" applyBorder="1" applyAlignment="1" applyProtection="1">
      <alignment horizontal="center" vertical="center"/>
      <protection hidden="1"/>
    </xf>
    <xf numFmtId="173" fontId="64" fillId="67" borderId="79" xfId="1" applyNumberFormat="1" applyFont="1" applyFill="1" applyBorder="1" applyAlignment="1" applyProtection="1">
      <alignment horizontal="center" vertical="center"/>
      <protection hidden="1"/>
    </xf>
    <xf numFmtId="173" fontId="64" fillId="67" borderId="116" xfId="1" applyNumberFormat="1" applyFont="1" applyFill="1" applyBorder="1" applyAlignment="1" applyProtection="1">
      <alignment horizontal="center" vertical="center"/>
      <protection hidden="1"/>
    </xf>
    <xf numFmtId="173" fontId="64" fillId="67" borderId="110" xfId="1" applyNumberFormat="1" applyFont="1" applyFill="1" applyBorder="1" applyAlignment="1" applyProtection="1">
      <alignment horizontal="center" vertical="center"/>
      <protection hidden="1"/>
    </xf>
    <xf numFmtId="44" fontId="64" fillId="53" borderId="0" xfId="0" applyNumberFormat="1" applyFont="1" applyFill="1" applyAlignment="1" applyProtection="1">
      <alignment horizontal="right" vertical="top"/>
      <protection hidden="1"/>
    </xf>
    <xf numFmtId="0" fontId="72" fillId="68" borderId="70" xfId="0" applyFont="1" applyFill="1" applyBorder="1" applyAlignment="1" applyProtection="1">
      <alignment horizontal="center" vertical="top"/>
      <protection locked="0"/>
    </xf>
    <xf numFmtId="0" fontId="94" fillId="71" borderId="118" xfId="0" applyFont="1" applyFill="1" applyBorder="1" applyAlignment="1" applyProtection="1">
      <alignment horizontal="center" vertical="center"/>
      <protection hidden="1"/>
    </xf>
    <xf numFmtId="0" fontId="5" fillId="2" borderId="174" xfId="0" applyFont="1" applyFill="1" applyBorder="1" applyAlignment="1">
      <alignment horizontal="center"/>
    </xf>
    <xf numFmtId="0" fontId="94" fillId="71" borderId="177" xfId="0" applyFont="1" applyFill="1" applyBorder="1" applyAlignment="1" applyProtection="1">
      <alignment horizontal="center" vertical="top"/>
      <protection hidden="1"/>
    </xf>
    <xf numFmtId="174" fontId="94" fillId="73" borderId="179" xfId="0" applyNumberFormat="1" applyFont="1" applyFill="1" applyBorder="1" applyAlignment="1">
      <alignment horizontal="center" vertical="top"/>
    </xf>
    <xf numFmtId="174" fontId="95" fillId="73" borderId="0" xfId="0" applyNumberFormat="1" applyFont="1" applyFill="1"/>
    <xf numFmtId="174" fontId="94" fillId="73" borderId="176" xfId="0" applyNumberFormat="1" applyFont="1" applyFill="1" applyBorder="1" applyAlignment="1">
      <alignment horizontal="center" vertical="top"/>
    </xf>
    <xf numFmtId="174" fontId="95" fillId="73" borderId="177" xfId="0" applyNumberFormat="1" applyFont="1" applyFill="1" applyBorder="1"/>
    <xf numFmtId="173" fontId="68" fillId="2" borderId="79" xfId="0" applyNumberFormat="1" applyFont="1" applyFill="1" applyBorder="1" applyAlignment="1" applyProtection="1">
      <alignment horizontal="center" vertical="center"/>
      <protection hidden="1"/>
    </xf>
    <xf numFmtId="3" fontId="68" fillId="2" borderId="79" xfId="1" applyNumberFormat="1" applyFont="1" applyFill="1" applyBorder="1" applyAlignment="1" applyProtection="1">
      <alignment horizontal="center" vertical="center"/>
      <protection hidden="1"/>
    </xf>
    <xf numFmtId="174" fontId="95" fillId="73" borderId="180" xfId="0" applyNumberFormat="1" applyFont="1" applyFill="1" applyBorder="1"/>
    <xf numFmtId="174" fontId="95" fillId="73" borderId="178" xfId="0" applyNumberFormat="1" applyFont="1" applyFill="1" applyBorder="1"/>
    <xf numFmtId="0" fontId="96" fillId="0" borderId="0" xfId="0" applyFont="1"/>
    <xf numFmtId="0" fontId="37" fillId="58" borderId="70" xfId="0" applyFont="1" applyFill="1" applyBorder="1" applyAlignment="1" applyProtection="1">
      <alignment horizontal="center" vertical="center" wrapText="1"/>
      <protection hidden="1"/>
    </xf>
    <xf numFmtId="0" fontId="37" fillId="49" borderId="70" xfId="0" applyFont="1" applyFill="1" applyBorder="1" applyAlignment="1" applyProtection="1">
      <alignment horizontal="center" vertical="center" wrapText="1"/>
      <protection hidden="1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0" fillId="2" borderId="81" xfId="0" applyFont="1" applyFill="1" applyBorder="1" applyProtection="1">
      <protection hidden="1"/>
    </xf>
    <xf numFmtId="0" fontId="16" fillId="0" borderId="127" xfId="10" applyFont="1" applyBorder="1" applyProtection="1">
      <protection hidden="1"/>
    </xf>
    <xf numFmtId="0" fontId="17" fillId="0" borderId="182" xfId="0" applyFont="1" applyBorder="1" applyProtection="1">
      <protection hidden="1"/>
    </xf>
    <xf numFmtId="0" fontId="16" fillId="0" borderId="182" xfId="10" applyFont="1" applyBorder="1" applyProtection="1">
      <protection hidden="1"/>
    </xf>
    <xf numFmtId="43" fontId="16" fillId="66" borderId="182" xfId="11" applyFont="1" applyFill="1" applyBorder="1" applyProtection="1">
      <protection hidden="1"/>
    </xf>
    <xf numFmtId="0" fontId="0" fillId="0" borderId="182" xfId="0" applyBorder="1" applyProtection="1">
      <protection hidden="1"/>
    </xf>
    <xf numFmtId="4" fontId="16" fillId="46" borderId="183" xfId="10" applyNumberFormat="1" applyFont="1" applyFill="1" applyBorder="1" applyProtection="1">
      <protection hidden="1"/>
    </xf>
    <xf numFmtId="4" fontId="16" fillId="4" borderId="182" xfId="10" applyNumberFormat="1" applyFont="1" applyFill="1" applyBorder="1" applyProtection="1">
      <protection hidden="1"/>
    </xf>
    <xf numFmtId="44" fontId="16" fillId="5" borderId="182" xfId="2" applyFont="1" applyFill="1" applyBorder="1" applyProtection="1">
      <protection hidden="1"/>
    </xf>
    <xf numFmtId="4" fontId="16" fillId="6" borderId="182" xfId="10" applyNumberFormat="1" applyFont="1" applyFill="1" applyBorder="1" applyProtection="1">
      <protection hidden="1"/>
    </xf>
    <xf numFmtId="0" fontId="10" fillId="0" borderId="182" xfId="10" applyBorder="1" applyProtection="1">
      <protection hidden="1"/>
    </xf>
    <xf numFmtId="0" fontId="0" fillId="2" borderId="182" xfId="0" applyFill="1" applyBorder="1" applyProtection="1">
      <protection hidden="1"/>
    </xf>
    <xf numFmtId="0" fontId="10" fillId="0" borderId="182" xfId="0" applyFont="1" applyBorder="1" applyProtection="1">
      <protection hidden="1"/>
    </xf>
    <xf numFmtId="0" fontId="46" fillId="0" borderId="182" xfId="0" applyFont="1" applyBorder="1" applyAlignment="1" applyProtection="1">
      <alignment horizontal="center"/>
      <protection hidden="1"/>
    </xf>
    <xf numFmtId="0" fontId="0" fillId="0" borderId="183" xfId="0" applyBorder="1" applyProtection="1">
      <protection hidden="1"/>
    </xf>
    <xf numFmtId="0" fontId="17" fillId="0" borderId="181" xfId="0" applyFont="1" applyBorder="1" applyProtection="1">
      <protection hidden="1"/>
    </xf>
    <xf numFmtId="0" fontId="16" fillId="0" borderId="181" xfId="10" applyFont="1" applyBorder="1" applyProtection="1">
      <protection hidden="1"/>
    </xf>
    <xf numFmtId="0" fontId="0" fillId="0" borderId="181" xfId="0" applyBorder="1" applyProtection="1">
      <protection hidden="1"/>
    </xf>
    <xf numFmtId="4" fontId="16" fillId="46" borderId="181" xfId="10" applyNumberFormat="1" applyFont="1" applyFill="1" applyBorder="1" applyProtection="1">
      <protection hidden="1"/>
    </xf>
    <xf numFmtId="4" fontId="16" fillId="4" borderId="181" xfId="10" applyNumberFormat="1" applyFont="1" applyFill="1" applyBorder="1" applyProtection="1">
      <protection hidden="1"/>
    </xf>
    <xf numFmtId="44" fontId="16" fillId="5" borderId="181" xfId="2" applyFont="1" applyFill="1" applyBorder="1" applyProtection="1">
      <protection hidden="1"/>
    </xf>
    <xf numFmtId="0" fontId="16" fillId="6" borderId="181" xfId="10" applyFont="1" applyFill="1" applyBorder="1" applyProtection="1">
      <protection hidden="1"/>
    </xf>
    <xf numFmtId="0" fontId="10" fillId="0" borderId="181" xfId="10" applyBorder="1" applyProtection="1">
      <protection hidden="1"/>
    </xf>
    <xf numFmtId="0" fontId="10" fillId="0" borderId="181" xfId="0" applyFont="1" applyBorder="1" applyProtection="1">
      <protection hidden="1"/>
    </xf>
    <xf numFmtId="0" fontId="46" fillId="0" borderId="181" xfId="0" applyFont="1" applyBorder="1" applyAlignment="1" applyProtection="1">
      <alignment horizontal="center"/>
      <protection hidden="1"/>
    </xf>
    <xf numFmtId="173" fontId="64" fillId="53" borderId="86" xfId="1" applyNumberFormat="1" applyFont="1" applyFill="1" applyBorder="1" applyAlignment="1" applyProtection="1">
      <alignment horizontal="center" vertical="center"/>
      <protection hidden="1"/>
    </xf>
    <xf numFmtId="44" fontId="4" fillId="51" borderId="86" xfId="2" applyFont="1" applyFill="1" applyBorder="1" applyAlignment="1" applyProtection="1">
      <alignment horizontal="center" vertical="center"/>
      <protection hidden="1"/>
    </xf>
    <xf numFmtId="173" fontId="64" fillId="67" borderId="80" xfId="1" applyNumberFormat="1" applyFont="1" applyFill="1" applyBorder="1" applyAlignment="1" applyProtection="1">
      <alignment horizontal="center" vertical="center"/>
      <protection hidden="1"/>
    </xf>
    <xf numFmtId="44" fontId="4" fillId="57" borderId="199" xfId="2" applyFont="1" applyFill="1" applyBorder="1" applyAlignment="1" applyProtection="1">
      <alignment horizontal="center" vertical="center"/>
      <protection hidden="1"/>
    </xf>
    <xf numFmtId="44" fontId="4" fillId="51" borderId="84" xfId="2" applyFont="1" applyFill="1" applyBorder="1" applyAlignment="1" applyProtection="1">
      <alignment horizontal="center" vertical="center"/>
      <protection hidden="1"/>
    </xf>
    <xf numFmtId="171" fontId="6" fillId="53" borderId="201" xfId="1" applyNumberFormat="1" applyFont="1" applyFill="1" applyBorder="1" applyAlignment="1" applyProtection="1">
      <alignment horizontal="center" vertical="center"/>
      <protection hidden="1"/>
    </xf>
    <xf numFmtId="171" fontId="64" fillId="53" borderId="202" xfId="1" applyNumberFormat="1" applyFont="1" applyFill="1" applyBorder="1" applyAlignment="1" applyProtection="1">
      <alignment horizontal="center" vertical="center"/>
      <protection hidden="1"/>
    </xf>
    <xf numFmtId="171" fontId="64" fillId="53" borderId="203" xfId="1" applyNumberFormat="1" applyFont="1" applyFill="1" applyBorder="1" applyAlignment="1" applyProtection="1">
      <alignment horizontal="center" vertical="center"/>
      <protection hidden="1"/>
    </xf>
    <xf numFmtId="173" fontId="64" fillId="53" borderId="204" xfId="1" applyNumberFormat="1" applyFont="1" applyFill="1" applyBorder="1" applyAlignment="1" applyProtection="1">
      <alignment horizontal="center" vertical="center"/>
      <protection hidden="1"/>
    </xf>
    <xf numFmtId="44" fontId="4" fillId="51" borderId="207" xfId="2" applyFont="1" applyFill="1" applyBorder="1" applyAlignment="1" applyProtection="1">
      <alignment horizontal="center" vertical="center"/>
      <protection hidden="1"/>
    </xf>
    <xf numFmtId="44" fontId="4" fillId="51" borderId="204" xfId="2" applyFont="1" applyFill="1" applyBorder="1" applyAlignment="1" applyProtection="1">
      <alignment horizontal="center" vertical="center"/>
      <protection hidden="1"/>
    </xf>
    <xf numFmtId="171" fontId="6" fillId="53" borderId="131" xfId="1" applyNumberFormat="1" applyFont="1" applyFill="1" applyBorder="1" applyAlignment="1" applyProtection="1">
      <alignment horizontal="center" vertical="center"/>
      <protection hidden="1"/>
    </xf>
    <xf numFmtId="171" fontId="64" fillId="53" borderId="205" xfId="1" applyNumberFormat="1" applyFont="1" applyFill="1" applyBorder="1" applyAlignment="1" applyProtection="1">
      <alignment horizontal="center" vertical="center"/>
      <protection hidden="1"/>
    </xf>
    <xf numFmtId="44" fontId="4" fillId="57" borderId="208" xfId="2" applyFont="1" applyFill="1" applyBorder="1" applyAlignment="1" applyProtection="1">
      <alignment horizontal="center" vertical="center"/>
      <protection hidden="1"/>
    </xf>
    <xf numFmtId="171" fontId="6" fillId="53" borderId="117" xfId="1" applyNumberFormat="1" applyFont="1" applyFill="1" applyBorder="1" applyAlignment="1" applyProtection="1">
      <alignment horizontal="center" vertical="center"/>
      <protection hidden="1"/>
    </xf>
    <xf numFmtId="171" fontId="64" fillId="53" borderId="137" xfId="1" applyNumberFormat="1" applyFont="1" applyFill="1" applyBorder="1" applyAlignment="1" applyProtection="1">
      <alignment horizontal="center" vertical="center"/>
      <protection hidden="1"/>
    </xf>
    <xf numFmtId="0" fontId="6" fillId="53" borderId="209" xfId="0" applyFont="1" applyFill="1" applyBorder="1" applyAlignment="1" applyProtection="1">
      <alignment horizontal="left" vertical="top"/>
      <protection hidden="1"/>
    </xf>
    <xf numFmtId="171" fontId="64" fillId="53" borderId="160" xfId="1" applyNumberFormat="1" applyFont="1" applyFill="1" applyBorder="1" applyAlignment="1" applyProtection="1">
      <alignment horizontal="center" vertical="center"/>
      <protection hidden="1"/>
    </xf>
    <xf numFmtId="173" fontId="64" fillId="53" borderId="160" xfId="1" applyNumberFormat="1" applyFont="1" applyFill="1" applyBorder="1" applyAlignment="1" applyProtection="1">
      <alignment horizontal="center" vertical="center"/>
      <protection hidden="1"/>
    </xf>
    <xf numFmtId="173" fontId="64" fillId="67" borderId="160" xfId="1" applyNumberFormat="1" applyFont="1" applyFill="1" applyBorder="1" applyAlignment="1" applyProtection="1">
      <alignment horizontal="center" vertical="center"/>
      <protection hidden="1"/>
    </xf>
    <xf numFmtId="44" fontId="4" fillId="51" borderId="160" xfId="2" applyFont="1" applyFill="1" applyBorder="1" applyAlignment="1" applyProtection="1">
      <alignment horizontal="center" vertical="center"/>
      <protection hidden="1"/>
    </xf>
    <xf numFmtId="44" fontId="4" fillId="57" borderId="164" xfId="2" applyFont="1" applyFill="1" applyBorder="1" applyAlignment="1" applyProtection="1">
      <alignment horizontal="center" vertical="center"/>
      <protection hidden="1"/>
    </xf>
    <xf numFmtId="0" fontId="6" fillId="53" borderId="210" xfId="0" applyFont="1" applyFill="1" applyBorder="1" applyAlignment="1" applyProtection="1">
      <alignment horizontal="left" vertical="top"/>
      <protection hidden="1"/>
    </xf>
    <xf numFmtId="0" fontId="6" fillId="53" borderId="211" xfId="0" applyFont="1" applyFill="1" applyBorder="1" applyAlignment="1" applyProtection="1">
      <alignment horizontal="left" vertical="top"/>
      <protection hidden="1"/>
    </xf>
    <xf numFmtId="0" fontId="6" fillId="53" borderId="133" xfId="0" applyFont="1" applyFill="1" applyBorder="1" applyAlignment="1" applyProtection="1">
      <alignment horizontal="left" vertical="top"/>
      <protection hidden="1"/>
    </xf>
    <xf numFmtId="171" fontId="64" fillId="53" borderId="212" xfId="1" applyNumberFormat="1" applyFont="1" applyFill="1" applyBorder="1" applyAlignment="1" applyProtection="1">
      <alignment horizontal="center" vertical="center"/>
      <protection hidden="1"/>
    </xf>
    <xf numFmtId="173" fontId="64" fillId="53" borderId="213" xfId="1" applyNumberFormat="1" applyFont="1" applyFill="1" applyBorder="1" applyAlignment="1" applyProtection="1">
      <alignment horizontal="center" vertical="center"/>
      <protection hidden="1"/>
    </xf>
    <xf numFmtId="173" fontId="64" fillId="67" borderId="151" xfId="1" applyNumberFormat="1" applyFont="1" applyFill="1" applyBorder="1" applyAlignment="1" applyProtection="1">
      <alignment horizontal="center" vertical="center"/>
      <protection hidden="1"/>
    </xf>
    <xf numFmtId="44" fontId="4" fillId="51" borderId="212" xfId="2" applyFont="1" applyFill="1" applyBorder="1" applyAlignment="1" applyProtection="1">
      <alignment horizontal="center" vertical="center"/>
      <protection hidden="1"/>
    </xf>
    <xf numFmtId="44" fontId="4" fillId="51" borderId="213" xfId="2" applyFont="1" applyFill="1" applyBorder="1" applyAlignment="1" applyProtection="1">
      <alignment horizontal="center" vertical="center"/>
      <protection hidden="1"/>
    </xf>
    <xf numFmtId="173" fontId="64" fillId="53" borderId="130" xfId="0" applyNumberFormat="1" applyFont="1" applyFill="1" applyBorder="1" applyAlignment="1" applyProtection="1">
      <alignment horizontal="right" vertical="top"/>
      <protection hidden="1"/>
    </xf>
    <xf numFmtId="0" fontId="6" fillId="53" borderId="141" xfId="0" applyFont="1" applyFill="1" applyBorder="1" applyAlignment="1" applyProtection="1">
      <alignment horizontal="left" vertical="top"/>
      <protection hidden="1"/>
    </xf>
    <xf numFmtId="173" fontId="64" fillId="67" borderId="217" xfId="1" applyNumberFormat="1" applyFont="1" applyFill="1" applyBorder="1" applyAlignment="1" applyProtection="1">
      <alignment horizontal="center" vertical="center"/>
      <protection hidden="1"/>
    </xf>
    <xf numFmtId="0" fontId="6" fillId="53" borderId="143" xfId="0" applyFont="1" applyFill="1" applyBorder="1" applyAlignment="1" applyProtection="1">
      <alignment horizontal="left" vertical="top"/>
      <protection hidden="1"/>
    </xf>
    <xf numFmtId="0" fontId="6" fillId="53" borderId="145" xfId="0" applyFont="1" applyFill="1" applyBorder="1" applyAlignment="1" applyProtection="1">
      <alignment horizontal="left" vertical="top"/>
      <protection hidden="1"/>
    </xf>
    <xf numFmtId="0" fontId="18" fillId="48" borderId="0" xfId="0" applyFont="1" applyFill="1" applyAlignment="1" applyProtection="1">
      <alignment horizontal="left"/>
      <protection hidden="1"/>
    </xf>
    <xf numFmtId="0" fontId="6" fillId="0" borderId="0" xfId="0" applyFont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>
      <alignment wrapText="1"/>
    </xf>
    <xf numFmtId="0" fontId="55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4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5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43" fillId="0" borderId="0" xfId="0" applyFont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164" fontId="43" fillId="0" borderId="0" xfId="0" applyNumberFormat="1" applyFont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 vertical="center"/>
      <protection hidden="1"/>
    </xf>
    <xf numFmtId="0" fontId="45" fillId="58" borderId="0" xfId="0" applyFont="1" applyFill="1" applyProtection="1">
      <protection hidden="1"/>
    </xf>
    <xf numFmtId="0" fontId="43" fillId="0" borderId="0" xfId="0" applyFont="1" applyAlignment="1" applyProtection="1">
      <alignment horizontal="left"/>
      <protection hidden="1"/>
    </xf>
    <xf numFmtId="0" fontId="44" fillId="0" borderId="0" xfId="0" applyFont="1" applyProtection="1">
      <protection hidden="1"/>
    </xf>
    <xf numFmtId="0" fontId="56" fillId="0" borderId="0" xfId="0" applyFont="1" applyAlignment="1">
      <alignment vertical="center"/>
    </xf>
    <xf numFmtId="0" fontId="7" fillId="0" borderId="0" xfId="0" applyFont="1" applyAlignment="1" applyProtection="1">
      <alignment horizontal="left"/>
      <protection hidden="1"/>
    </xf>
    <xf numFmtId="0" fontId="20" fillId="0" borderId="0" xfId="0" applyFont="1" applyAlignment="1" applyProtection="1">
      <alignment horizontal="center"/>
      <protection hidden="1"/>
    </xf>
    <xf numFmtId="172" fontId="20" fillId="0" borderId="0" xfId="0" applyNumberFormat="1" applyFont="1" applyAlignment="1" applyProtection="1">
      <alignment horizontal="center"/>
      <protection hidden="1"/>
    </xf>
    <xf numFmtId="0" fontId="65" fillId="0" borderId="0" xfId="0" applyFont="1"/>
    <xf numFmtId="166" fontId="62" fillId="2" borderId="0" xfId="0" applyNumberFormat="1" applyFont="1" applyFill="1" applyAlignment="1" applyProtection="1">
      <alignment horizontal="center" vertical="center"/>
      <protection hidden="1"/>
    </xf>
    <xf numFmtId="0" fontId="0" fillId="0" borderId="92" xfId="0" applyBorder="1" applyProtection="1">
      <protection hidden="1"/>
    </xf>
    <xf numFmtId="0" fontId="0" fillId="0" borderId="93" xfId="0" applyBorder="1" applyAlignment="1" applyProtection="1">
      <alignment horizontal="left"/>
      <protection hidden="1"/>
    </xf>
    <xf numFmtId="0" fontId="0" fillId="0" borderId="93" xfId="0" applyBorder="1" applyProtection="1">
      <protection hidden="1"/>
    </xf>
    <xf numFmtId="0" fontId="0" fillId="0" borderId="94" xfId="0" applyBorder="1" applyProtection="1">
      <protection hidden="1"/>
    </xf>
    <xf numFmtId="0" fontId="0" fillId="0" borderId="72" xfId="0" applyBorder="1" applyProtection="1">
      <protection hidden="1"/>
    </xf>
    <xf numFmtId="0" fontId="6" fillId="0" borderId="72" xfId="0" applyFont="1" applyBorder="1" applyProtection="1">
      <protection hidden="1"/>
    </xf>
    <xf numFmtId="0" fontId="0" fillId="0" borderId="72" xfId="0" applyBorder="1"/>
    <xf numFmtId="0" fontId="0" fillId="0" borderId="71" xfId="0" applyBorder="1"/>
    <xf numFmtId="0" fontId="6" fillId="0" borderId="72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0" fillId="0" borderId="91" xfId="0" applyBorder="1"/>
    <xf numFmtId="0" fontId="0" fillId="0" borderId="95" xfId="0" applyBorder="1" applyAlignment="1">
      <alignment horizontal="left"/>
    </xf>
    <xf numFmtId="0" fontId="0" fillId="0" borderId="95" xfId="0" applyBorder="1"/>
    <xf numFmtId="0" fontId="0" fillId="0" borderId="96" xfId="0" applyBorder="1"/>
    <xf numFmtId="44" fontId="64" fillId="54" borderId="129" xfId="2" applyFont="1" applyFill="1" applyBorder="1" applyAlignment="1" applyProtection="1">
      <alignment horizontal="center" vertical="center"/>
      <protection hidden="1"/>
    </xf>
    <xf numFmtId="44" fontId="62" fillId="2" borderId="80" xfId="2" applyFont="1" applyFill="1" applyBorder="1" applyAlignment="1" applyProtection="1">
      <alignment horizontal="center" vertical="center"/>
      <protection hidden="1"/>
    </xf>
    <xf numFmtId="0" fontId="0" fillId="0" borderId="80" xfId="0" applyBorder="1"/>
    <xf numFmtId="0" fontId="66" fillId="48" borderId="87" xfId="0" applyFont="1" applyFill="1" applyBorder="1" applyAlignment="1" applyProtection="1">
      <alignment horizontal="left"/>
      <protection hidden="1"/>
    </xf>
    <xf numFmtId="0" fontId="80" fillId="0" borderId="70" xfId="0" applyFont="1" applyBorder="1" applyProtection="1">
      <protection hidden="1"/>
    </xf>
    <xf numFmtId="0" fontId="100" fillId="8" borderId="0" xfId="0" applyFont="1" applyFill="1" applyProtection="1">
      <protection hidden="1"/>
    </xf>
    <xf numFmtId="0" fontId="41" fillId="8" borderId="0" xfId="0" applyFont="1" applyFill="1"/>
    <xf numFmtId="0" fontId="101" fillId="53" borderId="0" xfId="0" applyFont="1" applyFill="1" applyAlignment="1" applyProtection="1">
      <alignment horizontal="right" vertical="top"/>
      <protection hidden="1"/>
    </xf>
    <xf numFmtId="43" fontId="16" fillId="9" borderId="123" xfId="11" applyFont="1" applyFill="1" applyBorder="1" applyProtection="1">
      <protection hidden="1"/>
    </xf>
    <xf numFmtId="43" fontId="16" fillId="2" borderId="123" xfId="11" applyFont="1" applyFill="1" applyBorder="1" applyProtection="1">
      <protection hidden="1"/>
    </xf>
    <xf numFmtId="43" fontId="16" fillId="2" borderId="105" xfId="11" applyFont="1" applyFill="1" applyBorder="1" applyProtection="1">
      <protection hidden="1"/>
    </xf>
    <xf numFmtId="0" fontId="16" fillId="9" borderId="73" xfId="10" applyFont="1" applyFill="1" applyBorder="1" applyProtection="1">
      <protection hidden="1"/>
    </xf>
    <xf numFmtId="0" fontId="53" fillId="9" borderId="73" xfId="10" applyFont="1" applyFill="1" applyBorder="1" applyProtection="1">
      <protection hidden="1"/>
    </xf>
    <xf numFmtId="43" fontId="16" fillId="9" borderId="73" xfId="11" applyFont="1" applyFill="1" applyBorder="1" applyProtection="1">
      <protection hidden="1"/>
    </xf>
    <xf numFmtId="4" fontId="16" fillId="9" borderId="73" xfId="10" applyNumberFormat="1" applyFont="1" applyFill="1" applyBorder="1" applyProtection="1">
      <protection hidden="1"/>
    </xf>
    <xf numFmtId="44" fontId="16" fillId="9" borderId="73" xfId="2" applyFont="1" applyFill="1" applyBorder="1" applyProtection="1">
      <protection hidden="1"/>
    </xf>
    <xf numFmtId="15" fontId="12" fillId="9" borderId="73" xfId="10" applyNumberFormat="1" applyFont="1" applyFill="1" applyBorder="1" applyProtection="1">
      <protection hidden="1"/>
    </xf>
    <xf numFmtId="0" fontId="0" fillId="9" borderId="73" xfId="0" applyFill="1" applyBorder="1" applyProtection="1">
      <protection hidden="1"/>
    </xf>
    <xf numFmtId="0" fontId="10" fillId="9" borderId="73" xfId="0" applyFont="1" applyFill="1" applyBorder="1" applyProtection="1">
      <protection hidden="1"/>
    </xf>
    <xf numFmtId="0" fontId="46" fillId="9" borderId="73" xfId="0" applyFont="1" applyFill="1" applyBorder="1" applyAlignment="1" applyProtection="1">
      <alignment horizontal="center"/>
      <protection hidden="1"/>
    </xf>
    <xf numFmtId="0" fontId="0" fillId="9" borderId="103" xfId="0" applyFill="1" applyBorder="1" applyProtection="1">
      <protection hidden="1"/>
    </xf>
    <xf numFmtId="0" fontId="102" fillId="9" borderId="14" xfId="10" applyFont="1" applyFill="1" applyBorder="1" applyProtection="1">
      <protection hidden="1"/>
    </xf>
    <xf numFmtId="0" fontId="31" fillId="3" borderId="220" xfId="0" applyFont="1" applyFill="1" applyBorder="1" applyAlignment="1" applyProtection="1">
      <alignment horizontal="center" vertical="center"/>
      <protection hidden="1"/>
    </xf>
    <xf numFmtId="0" fontId="41" fillId="52" borderId="0" xfId="0" applyFont="1" applyFill="1" applyProtection="1">
      <protection hidden="1"/>
    </xf>
    <xf numFmtId="15" fontId="12" fillId="66" borderId="40" xfId="10" applyNumberFormat="1" applyFont="1" applyFill="1" applyBorder="1" applyProtection="1">
      <protection hidden="1"/>
    </xf>
    <xf numFmtId="0" fontId="0" fillId="65" borderId="98" xfId="0" applyFill="1" applyBorder="1" applyProtection="1">
      <protection hidden="1"/>
    </xf>
    <xf numFmtId="0" fontId="0" fillId="2" borderId="98" xfId="0" applyFill="1" applyBorder="1" applyProtection="1">
      <protection hidden="1"/>
    </xf>
    <xf numFmtId="0" fontId="10" fillId="0" borderId="105" xfId="0" applyFont="1" applyBorder="1" applyAlignment="1" applyProtection="1">
      <alignment horizontal="center" vertical="center"/>
      <protection hidden="1"/>
    </xf>
    <xf numFmtId="0" fontId="73" fillId="0" borderId="221" xfId="10" applyFont="1" applyBorder="1" applyProtection="1">
      <protection hidden="1"/>
    </xf>
    <xf numFmtId="0" fontId="16" fillId="0" borderId="221" xfId="10" applyFont="1" applyBorder="1" applyProtection="1">
      <protection hidden="1"/>
    </xf>
    <xf numFmtId="43" fontId="73" fillId="0" borderId="221" xfId="11" applyFont="1" applyFill="1" applyBorder="1" applyProtection="1">
      <protection hidden="1"/>
    </xf>
    <xf numFmtId="167" fontId="16" fillId="0" borderId="221" xfId="10" applyNumberFormat="1" applyFont="1" applyBorder="1" applyProtection="1">
      <protection hidden="1"/>
    </xf>
    <xf numFmtId="4" fontId="16" fillId="0" borderId="221" xfId="10" applyNumberFormat="1" applyFont="1" applyBorder="1" applyProtection="1">
      <protection hidden="1"/>
    </xf>
    <xf numFmtId="0" fontId="31" fillId="0" borderId="221" xfId="0" applyFont="1" applyBorder="1" applyProtection="1">
      <protection hidden="1"/>
    </xf>
    <xf numFmtId="15" fontId="16" fillId="0" borderId="221" xfId="10" applyNumberFormat="1" applyFont="1" applyBorder="1" applyProtection="1">
      <protection hidden="1"/>
    </xf>
    <xf numFmtId="43" fontId="40" fillId="0" borderId="221" xfId="11" applyFont="1" applyFill="1" applyBorder="1" applyProtection="1">
      <protection hidden="1"/>
    </xf>
    <xf numFmtId="0" fontId="40" fillId="0" borderId="221" xfId="10" applyFont="1" applyBorder="1" applyProtection="1">
      <protection hidden="1"/>
    </xf>
    <xf numFmtId="0" fontId="16" fillId="2" borderId="221" xfId="10" applyFont="1" applyFill="1" applyBorder="1" applyProtection="1">
      <protection hidden="1"/>
    </xf>
    <xf numFmtId="15" fontId="12" fillId="0" borderId="221" xfId="10" applyNumberFormat="1" applyFont="1" applyBorder="1" applyProtection="1">
      <protection hidden="1"/>
    </xf>
    <xf numFmtId="0" fontId="17" fillId="0" borderId="103" xfId="0" applyFont="1" applyBorder="1" applyProtection="1">
      <protection hidden="1"/>
    </xf>
    <xf numFmtId="43" fontId="16" fillId="0" borderId="103" xfId="11" applyFont="1" applyFill="1" applyBorder="1" applyProtection="1">
      <protection hidden="1"/>
    </xf>
    <xf numFmtId="15" fontId="12" fillId="0" borderId="103" xfId="10" applyNumberFormat="1" applyFont="1" applyBorder="1" applyProtection="1">
      <protection hidden="1"/>
    </xf>
    <xf numFmtId="0" fontId="46" fillId="0" borderId="103" xfId="0" applyFont="1" applyBorder="1" applyAlignment="1" applyProtection="1">
      <alignment horizontal="center"/>
      <protection hidden="1"/>
    </xf>
    <xf numFmtId="168" fontId="0" fillId="0" borderId="103" xfId="0" applyNumberFormat="1" applyBorder="1" applyProtection="1">
      <protection hidden="1"/>
    </xf>
    <xf numFmtId="0" fontId="16" fillId="2" borderId="103" xfId="10" applyFont="1" applyFill="1" applyBorder="1" applyProtection="1">
      <protection hidden="1"/>
    </xf>
    <xf numFmtId="0" fontId="10" fillId="0" borderId="51" xfId="0" applyFont="1" applyBorder="1" applyProtection="1">
      <protection hidden="1"/>
    </xf>
    <xf numFmtId="0" fontId="0" fillId="0" borderId="99" xfId="0" applyBorder="1" applyProtection="1">
      <protection hidden="1"/>
    </xf>
    <xf numFmtId="0" fontId="50" fillId="0" borderId="99" xfId="0" applyFont="1" applyBorder="1" applyAlignment="1" applyProtection="1">
      <alignment horizontal="center" vertical="center"/>
      <protection hidden="1"/>
    </xf>
    <xf numFmtId="0" fontId="14" fillId="75" borderId="0" xfId="10" applyFont="1" applyFill="1" applyAlignment="1" applyProtection="1">
      <alignment horizontal="center" wrapText="1"/>
      <protection hidden="1"/>
    </xf>
    <xf numFmtId="0" fontId="14" fillId="75" borderId="55" xfId="10" applyFont="1" applyFill="1" applyBorder="1" applyAlignment="1" applyProtection="1">
      <alignment horizontal="center"/>
      <protection hidden="1"/>
    </xf>
    <xf numFmtId="0" fontId="0" fillId="75" borderId="171" xfId="0" applyFill="1" applyBorder="1" applyAlignment="1" applyProtection="1">
      <alignment wrapText="1"/>
      <protection hidden="1"/>
    </xf>
    <xf numFmtId="0" fontId="0" fillId="75" borderId="4" xfId="0" applyFill="1" applyBorder="1" applyProtection="1">
      <protection hidden="1"/>
    </xf>
    <xf numFmtId="0" fontId="0" fillId="75" borderId="6" xfId="0" applyFill="1" applyBorder="1" applyProtection="1">
      <protection hidden="1"/>
    </xf>
    <xf numFmtId="0" fontId="0" fillId="75" borderId="1" xfId="0" applyFill="1" applyBorder="1" applyProtection="1">
      <protection hidden="1"/>
    </xf>
    <xf numFmtId="0" fontId="0" fillId="75" borderId="16" xfId="0" applyFill="1" applyBorder="1" applyProtection="1">
      <protection hidden="1"/>
    </xf>
    <xf numFmtId="0" fontId="0" fillId="75" borderId="0" xfId="0" applyFill="1" applyProtection="1">
      <protection hidden="1"/>
    </xf>
    <xf numFmtId="0" fontId="0" fillId="75" borderId="103" xfId="0" applyFill="1" applyBorder="1" applyProtection="1">
      <protection hidden="1"/>
    </xf>
    <xf numFmtId="0" fontId="46" fillId="75" borderId="103" xfId="0" applyFont="1" applyFill="1" applyBorder="1" applyAlignment="1" applyProtection="1">
      <alignment horizontal="center"/>
      <protection hidden="1"/>
    </xf>
    <xf numFmtId="0" fontId="0" fillId="50" borderId="220" xfId="0" applyFill="1" applyBorder="1" applyProtection="1">
      <protection hidden="1"/>
    </xf>
    <xf numFmtId="0" fontId="0" fillId="0" borderId="220" xfId="0" applyBorder="1" applyProtection="1">
      <protection hidden="1"/>
    </xf>
    <xf numFmtId="0" fontId="0" fillId="0" borderId="222" xfId="0" applyBorder="1" applyProtection="1">
      <protection hidden="1"/>
    </xf>
    <xf numFmtId="0" fontId="0" fillId="50" borderId="222" xfId="0" applyFill="1" applyBorder="1" applyProtection="1">
      <protection hidden="1"/>
    </xf>
    <xf numFmtId="0" fontId="0" fillId="0" borderId="223" xfId="0" applyBorder="1" applyProtection="1">
      <protection hidden="1"/>
    </xf>
    <xf numFmtId="0" fontId="31" fillId="3" borderId="224" xfId="0" applyFont="1" applyFill="1" applyBorder="1" applyAlignment="1" applyProtection="1">
      <alignment horizontal="center" vertical="center"/>
      <protection hidden="1"/>
    </xf>
    <xf numFmtId="0" fontId="31" fillId="3" borderId="225" xfId="0" applyFont="1" applyFill="1" applyBorder="1" applyProtection="1">
      <protection hidden="1"/>
    </xf>
    <xf numFmtId="0" fontId="31" fillId="3" borderId="103" xfId="0" applyFont="1" applyFill="1" applyBorder="1" applyProtection="1">
      <protection hidden="1"/>
    </xf>
    <xf numFmtId="0" fontId="0" fillId="0" borderId="37" xfId="0" applyBorder="1" applyProtection="1">
      <protection hidden="1"/>
    </xf>
    <xf numFmtId="0" fontId="0" fillId="9" borderId="18" xfId="0" applyFill="1" applyBorder="1" applyProtection="1">
      <protection hidden="1"/>
    </xf>
    <xf numFmtId="4" fontId="16" fillId="3" borderId="103" xfId="10" applyNumberFormat="1" applyFont="1" applyFill="1" applyBorder="1" applyProtection="1">
      <protection hidden="1"/>
    </xf>
    <xf numFmtId="0" fontId="38" fillId="2" borderId="0" xfId="0" applyFont="1" applyFill="1" applyProtection="1">
      <protection locked="0"/>
    </xf>
    <xf numFmtId="0" fontId="91" fillId="59" borderId="0" xfId="0" applyFont="1" applyFill="1" applyAlignment="1">
      <alignment horizontal="left" vertical="center"/>
    </xf>
    <xf numFmtId="0" fontId="91" fillId="59" borderId="0" xfId="0" applyFont="1" applyFill="1"/>
    <xf numFmtId="0" fontId="0" fillId="76" borderId="0" xfId="0" applyFill="1"/>
    <xf numFmtId="0" fontId="0" fillId="76" borderId="0" xfId="0" applyFill="1" applyProtection="1">
      <protection locked="0"/>
    </xf>
    <xf numFmtId="0" fontId="0" fillId="8" borderId="0" xfId="0" applyFill="1"/>
    <xf numFmtId="0" fontId="8" fillId="68" borderId="70" xfId="0" applyFont="1" applyFill="1" applyBorder="1" applyAlignment="1" applyProtection="1">
      <alignment horizontal="center" vertical="top"/>
      <protection hidden="1"/>
    </xf>
    <xf numFmtId="0" fontId="6" fillId="0" borderId="92" xfId="0" applyFont="1" applyBorder="1" applyAlignment="1">
      <alignment horizontal="center" vertical="center" wrapText="1"/>
    </xf>
    <xf numFmtId="0" fontId="6" fillId="0" borderId="93" xfId="0" applyFont="1" applyBorder="1" applyAlignment="1">
      <alignment horizontal="center" vertical="center" wrapText="1"/>
    </xf>
    <xf numFmtId="0" fontId="6" fillId="0" borderId="94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91" xfId="0" applyFont="1" applyBorder="1" applyAlignment="1">
      <alignment horizontal="center" vertical="center" wrapText="1"/>
    </xf>
    <xf numFmtId="0" fontId="6" fillId="0" borderId="95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88" fillId="53" borderId="0" xfId="0" applyFont="1" applyFill="1"/>
    <xf numFmtId="0" fontId="89" fillId="0" borderId="0" xfId="0" applyFont="1"/>
    <xf numFmtId="0" fontId="84" fillId="53" borderId="0" xfId="0" applyFont="1" applyFill="1"/>
    <xf numFmtId="0" fontId="85" fillId="0" borderId="0" xfId="0" applyFont="1"/>
    <xf numFmtId="0" fontId="93" fillId="0" borderId="0" xfId="0" applyFont="1" applyAlignment="1" applyProtection="1">
      <alignment horizontal="center" vertical="center"/>
      <protection hidden="1"/>
    </xf>
    <xf numFmtId="0" fontId="49" fillId="0" borderId="0" xfId="0" applyFont="1" applyAlignment="1">
      <alignment horizontal="center" vertical="center"/>
    </xf>
    <xf numFmtId="0" fontId="44" fillId="0" borderId="0" xfId="0" applyFont="1"/>
    <xf numFmtId="44" fontId="58" fillId="2" borderId="190" xfId="2" applyFont="1" applyFill="1" applyBorder="1" applyAlignment="1" applyProtection="1">
      <alignment horizontal="center" vertical="center"/>
      <protection hidden="1"/>
    </xf>
    <xf numFmtId="0" fontId="0" fillId="0" borderId="191" xfId="0" applyBorder="1" applyAlignment="1">
      <alignment horizontal="center" vertical="center"/>
    </xf>
    <xf numFmtId="0" fontId="82" fillId="53" borderId="0" xfId="0" applyFont="1" applyFill="1" applyAlignment="1" applyProtection="1">
      <alignment horizontal="right" wrapText="1"/>
      <protection hidden="1"/>
    </xf>
    <xf numFmtId="0" fontId="83" fillId="0" borderId="0" xfId="0" applyFont="1" applyAlignment="1">
      <alignment horizontal="right" wrapText="1"/>
    </xf>
    <xf numFmtId="0" fontId="82" fillId="53" borderId="0" xfId="0" applyFont="1" applyFill="1" applyAlignment="1" applyProtection="1">
      <alignment horizontal="center" vertical="center"/>
      <protection hidden="1"/>
    </xf>
    <xf numFmtId="0" fontId="83" fillId="0" borderId="0" xfId="0" applyFont="1" applyAlignment="1">
      <alignment horizontal="center" vertical="center"/>
    </xf>
    <xf numFmtId="44" fontId="4" fillId="51" borderId="138" xfId="2" applyFont="1" applyFill="1" applyBorder="1" applyAlignment="1" applyProtection="1">
      <alignment horizontal="center" vertical="center"/>
      <protection hidden="1"/>
    </xf>
    <xf numFmtId="0" fontId="0" fillId="0" borderId="139" xfId="0" applyBorder="1"/>
    <xf numFmtId="44" fontId="64" fillId="0" borderId="128" xfId="2" applyFont="1" applyFill="1" applyBorder="1" applyAlignment="1" applyProtection="1">
      <alignment horizontal="center" vertical="center"/>
      <protection hidden="1"/>
    </xf>
    <xf numFmtId="44" fontId="5" fillId="0" borderId="0" xfId="2" applyFont="1" applyFill="1" applyAlignment="1"/>
    <xf numFmtId="43" fontId="64" fillId="53" borderId="88" xfId="1" applyFont="1" applyFill="1" applyBorder="1" applyAlignment="1" applyProtection="1">
      <alignment horizontal="right" vertical="top"/>
      <protection hidden="1"/>
    </xf>
    <xf numFmtId="43" fontId="0" fillId="0" borderId="88" xfId="1" applyFont="1" applyBorder="1" applyAlignment="1">
      <alignment horizontal="right" vertical="top"/>
    </xf>
    <xf numFmtId="43" fontId="64" fillId="53" borderId="134" xfId="1" applyFont="1" applyFill="1" applyBorder="1" applyAlignment="1" applyProtection="1">
      <alignment horizontal="right" vertical="top"/>
      <protection hidden="1"/>
    </xf>
    <xf numFmtId="43" fontId="0" fillId="0" borderId="134" xfId="1" applyFont="1" applyBorder="1" applyAlignment="1">
      <alignment horizontal="right" vertical="top"/>
    </xf>
    <xf numFmtId="43" fontId="64" fillId="67" borderId="79" xfId="1" applyFont="1" applyFill="1" applyBorder="1" applyAlignment="1" applyProtection="1">
      <alignment horizontal="center" vertical="center"/>
      <protection hidden="1"/>
    </xf>
    <xf numFmtId="43" fontId="5" fillId="67" borderId="79" xfId="0" applyNumberFormat="1" applyFont="1" applyFill="1" applyBorder="1" applyAlignment="1" applyProtection="1">
      <alignment horizontal="center" vertical="center"/>
      <protection hidden="1"/>
    </xf>
    <xf numFmtId="44" fontId="64" fillId="2" borderId="82" xfId="2" applyFont="1" applyFill="1" applyBorder="1" applyAlignment="1" applyProtection="1">
      <alignment horizontal="center" vertical="center"/>
      <protection hidden="1"/>
    </xf>
    <xf numFmtId="0" fontId="5" fillId="2" borderId="83" xfId="0" applyFont="1" applyFill="1" applyBorder="1" applyAlignment="1" applyProtection="1">
      <alignment horizontal="center" vertical="center"/>
      <protection hidden="1"/>
    </xf>
    <xf numFmtId="44" fontId="64" fillId="2" borderId="79" xfId="2" applyFont="1" applyFill="1" applyBorder="1" applyAlignment="1" applyProtection="1">
      <alignment horizontal="center" vertical="center"/>
      <protection hidden="1"/>
    </xf>
    <xf numFmtId="0" fontId="5" fillId="2" borderId="79" xfId="0" applyFont="1" applyFill="1" applyBorder="1" applyAlignment="1" applyProtection="1">
      <alignment horizontal="center" vertical="center"/>
      <protection hidden="1"/>
    </xf>
    <xf numFmtId="44" fontId="64" fillId="2" borderId="108" xfId="2" applyFont="1" applyFill="1" applyBorder="1" applyAlignment="1" applyProtection="1">
      <alignment horizontal="center" vertical="center"/>
      <protection hidden="1"/>
    </xf>
    <xf numFmtId="0" fontId="5" fillId="2" borderId="109" xfId="0" applyFont="1" applyFill="1" applyBorder="1" applyAlignment="1" applyProtection="1">
      <alignment horizontal="center" vertical="center"/>
      <protection hidden="1"/>
    </xf>
    <xf numFmtId="170" fontId="58" fillId="2" borderId="155" xfId="2" applyNumberFormat="1" applyFont="1" applyFill="1" applyBorder="1" applyAlignment="1" applyProtection="1">
      <alignment horizontal="center" vertical="center"/>
      <protection hidden="1"/>
    </xf>
    <xf numFmtId="170" fontId="58" fillId="2" borderId="156" xfId="2" applyNumberFormat="1" applyFont="1" applyFill="1" applyBorder="1" applyAlignment="1" applyProtection="1">
      <alignment horizontal="center" vertical="center"/>
      <protection hidden="1"/>
    </xf>
    <xf numFmtId="170" fontId="58" fillId="2" borderId="153" xfId="2" applyNumberFormat="1" applyFont="1" applyFill="1" applyBorder="1" applyAlignment="1" applyProtection="1">
      <alignment horizontal="center" vertical="center"/>
      <protection hidden="1"/>
    </xf>
    <xf numFmtId="170" fontId="58" fillId="2" borderId="154" xfId="2" applyNumberFormat="1" applyFont="1" applyFill="1" applyBorder="1" applyAlignment="1" applyProtection="1">
      <alignment horizontal="center" vertical="center"/>
      <protection hidden="1"/>
    </xf>
    <xf numFmtId="0" fontId="98" fillId="70" borderId="184" xfId="0" applyFont="1" applyFill="1" applyBorder="1" applyAlignment="1" applyProtection="1">
      <alignment horizontal="center" vertical="center" wrapText="1"/>
      <protection hidden="1"/>
    </xf>
    <xf numFmtId="0" fontId="99" fillId="70" borderId="185" xfId="0" applyFont="1" applyFill="1" applyBorder="1" applyAlignment="1">
      <alignment wrapText="1"/>
    </xf>
    <xf numFmtId="0" fontId="99" fillId="70" borderId="186" xfId="0" applyFont="1" applyFill="1" applyBorder="1" applyAlignment="1">
      <alignment wrapText="1"/>
    </xf>
    <xf numFmtId="0" fontId="99" fillId="70" borderId="187" xfId="0" applyFont="1" applyFill="1" applyBorder="1" applyAlignment="1">
      <alignment wrapText="1"/>
    </xf>
    <xf numFmtId="0" fontId="99" fillId="70" borderId="188" xfId="0" applyFont="1" applyFill="1" applyBorder="1" applyAlignment="1">
      <alignment wrapText="1"/>
    </xf>
    <xf numFmtId="0" fontId="99" fillId="70" borderId="189" xfId="0" applyFont="1" applyFill="1" applyBorder="1" applyAlignment="1">
      <alignment wrapText="1"/>
    </xf>
    <xf numFmtId="0" fontId="58" fillId="64" borderId="87" xfId="0" applyFont="1" applyFill="1" applyBorder="1" applyAlignment="1" applyProtection="1">
      <alignment horizontal="center" wrapText="1"/>
      <protection hidden="1"/>
    </xf>
    <xf numFmtId="0" fontId="5" fillId="64" borderId="88" xfId="0" applyFont="1" applyFill="1" applyBorder="1" applyAlignment="1">
      <alignment horizontal="center" wrapText="1"/>
    </xf>
    <xf numFmtId="0" fontId="5" fillId="64" borderId="89" xfId="0" applyFont="1" applyFill="1" applyBorder="1" applyAlignment="1">
      <alignment horizontal="center" wrapText="1"/>
    </xf>
    <xf numFmtId="0" fontId="64" fillId="53" borderId="0" xfId="0" applyFont="1" applyFill="1" applyAlignment="1" applyProtection="1">
      <alignment horizontal="left" vertical="top" wrapText="1"/>
      <protection hidden="1"/>
    </xf>
    <xf numFmtId="0" fontId="0" fillId="0" borderId="0" xfId="0" applyAlignment="1">
      <alignment horizontal="left" vertical="top" wrapText="1"/>
    </xf>
    <xf numFmtId="0" fontId="8" fillId="60" borderId="119" xfId="0" applyFont="1" applyFill="1" applyBorder="1" applyAlignment="1" applyProtection="1">
      <alignment horizontal="center" vertical="center" wrapText="1"/>
      <protection hidden="1"/>
    </xf>
    <xf numFmtId="0" fontId="0" fillId="60" borderId="120" xfId="0" applyFill="1" applyBorder="1" applyAlignment="1">
      <alignment horizontal="center" vertical="center"/>
    </xf>
    <xf numFmtId="0" fontId="0" fillId="60" borderId="120" xfId="0" applyFill="1" applyBorder="1" applyAlignment="1" applyProtection="1">
      <alignment horizontal="center" vertical="center" wrapText="1"/>
      <protection hidden="1"/>
    </xf>
    <xf numFmtId="44" fontId="64" fillId="53" borderId="87" xfId="2" applyFont="1" applyFill="1" applyBorder="1" applyAlignment="1" applyProtection="1">
      <alignment horizontal="center" vertical="center"/>
      <protection hidden="1"/>
    </xf>
    <xf numFmtId="0" fontId="5" fillId="53" borderId="89" xfId="0" applyFont="1" applyFill="1" applyBorder="1" applyAlignment="1" applyProtection="1">
      <alignment horizontal="center" vertical="center"/>
      <protection hidden="1"/>
    </xf>
    <xf numFmtId="44" fontId="64" fillId="53" borderId="151" xfId="2" applyFont="1" applyFill="1" applyBorder="1" applyAlignment="1" applyProtection="1">
      <alignment horizontal="center" vertical="center"/>
      <protection hidden="1"/>
    </xf>
    <xf numFmtId="0" fontId="5" fillId="53" borderId="135" xfId="0" applyFont="1" applyFill="1" applyBorder="1" applyAlignment="1" applyProtection="1">
      <alignment horizontal="center" vertical="center"/>
      <protection hidden="1"/>
    </xf>
    <xf numFmtId="173" fontId="64" fillId="53" borderId="70" xfId="1" applyNumberFormat="1" applyFont="1" applyFill="1" applyBorder="1" applyAlignment="1" applyProtection="1">
      <alignment horizontal="center" vertical="center"/>
      <protection hidden="1"/>
    </xf>
    <xf numFmtId="0" fontId="0" fillId="0" borderId="70" xfId="0" applyBorder="1"/>
    <xf numFmtId="173" fontId="64" fillId="53" borderId="150" xfId="1" applyNumberFormat="1" applyFont="1" applyFill="1" applyBorder="1" applyAlignment="1" applyProtection="1">
      <alignment horizontal="center" vertical="center"/>
      <protection hidden="1"/>
    </xf>
    <xf numFmtId="0" fontId="0" fillId="0" borderId="150" xfId="0" applyBorder="1"/>
    <xf numFmtId="0" fontId="0" fillId="60" borderId="120" xfId="0" applyFill="1" applyBorder="1" applyAlignment="1">
      <alignment horizontal="center" vertical="center" wrapText="1"/>
    </xf>
    <xf numFmtId="0" fontId="8" fillId="60" borderId="147" xfId="0" applyFont="1" applyFill="1" applyBorder="1" applyAlignment="1" applyProtection="1">
      <alignment horizontal="center" vertical="center" wrapText="1"/>
      <protection hidden="1"/>
    </xf>
    <xf numFmtId="0" fontId="0" fillId="60" borderId="136" xfId="0" applyFill="1" applyBorder="1"/>
    <xf numFmtId="44" fontId="4" fillId="51" borderId="0" xfId="2" applyFont="1" applyFill="1" applyBorder="1" applyAlignment="1" applyProtection="1">
      <alignment horizontal="center" vertical="center"/>
      <protection hidden="1"/>
    </xf>
    <xf numFmtId="0" fontId="0" fillId="0" borderId="126" xfId="0" applyBorder="1"/>
    <xf numFmtId="44" fontId="64" fillId="2" borderId="160" xfId="2" applyFont="1" applyFill="1" applyBorder="1" applyAlignment="1" applyProtection="1">
      <alignment horizontal="center" vertical="center"/>
      <protection hidden="1"/>
    </xf>
    <xf numFmtId="0" fontId="5" fillId="2" borderId="160" xfId="0" applyFont="1" applyFill="1" applyBorder="1" applyAlignment="1" applyProtection="1">
      <alignment horizontal="center" vertical="center"/>
      <protection hidden="1"/>
    </xf>
    <xf numFmtId="0" fontId="8" fillId="56" borderId="119" xfId="0" applyFont="1" applyFill="1" applyBorder="1" applyAlignment="1" applyProtection="1">
      <alignment horizontal="center" vertical="center" wrapText="1"/>
      <protection hidden="1"/>
    </xf>
    <xf numFmtId="0" fontId="3" fillId="56" borderId="85" xfId="0" applyFont="1" applyFill="1" applyBorder="1" applyProtection="1">
      <protection hidden="1"/>
    </xf>
    <xf numFmtId="44" fontId="64" fillId="2" borderId="159" xfId="2" applyFont="1" applyFill="1" applyBorder="1" applyAlignment="1" applyProtection="1">
      <alignment horizontal="center" vertical="center"/>
      <protection hidden="1"/>
    </xf>
    <xf numFmtId="44" fontId="34" fillId="62" borderId="190" xfId="2" applyFont="1" applyFill="1" applyBorder="1" applyAlignment="1" applyProtection="1">
      <alignment horizontal="center" vertical="center"/>
      <protection hidden="1"/>
    </xf>
    <xf numFmtId="0" fontId="0" fillId="0" borderId="191" xfId="0" applyBorder="1"/>
    <xf numFmtId="44" fontId="64" fillId="2" borderId="114" xfId="2" applyFont="1" applyFill="1" applyBorder="1" applyAlignment="1" applyProtection="1">
      <alignment horizontal="center" vertical="center"/>
      <protection hidden="1"/>
    </xf>
    <xf numFmtId="0" fontId="5" fillId="2" borderId="115" xfId="0" applyFont="1" applyFill="1" applyBorder="1" applyAlignment="1" applyProtection="1">
      <alignment horizontal="center" vertical="center"/>
      <protection hidden="1"/>
    </xf>
    <xf numFmtId="43" fontId="64" fillId="67" borderId="116" xfId="1" applyFont="1" applyFill="1" applyBorder="1" applyAlignment="1" applyProtection="1">
      <alignment horizontal="center" vertical="center"/>
      <protection hidden="1"/>
    </xf>
    <xf numFmtId="43" fontId="5" fillId="67" borderId="116" xfId="0" applyNumberFormat="1" applyFont="1" applyFill="1" applyBorder="1" applyAlignment="1" applyProtection="1">
      <alignment horizontal="center" vertical="center"/>
      <protection hidden="1"/>
    </xf>
    <xf numFmtId="44" fontId="64" fillId="2" borderId="86" xfId="2" applyFont="1" applyFill="1" applyBorder="1" applyAlignment="1" applyProtection="1">
      <alignment horizontal="center" vertical="center"/>
      <protection hidden="1"/>
    </xf>
    <xf numFmtId="0" fontId="5" fillId="2" borderId="84" xfId="0" applyFont="1" applyFill="1" applyBorder="1" applyAlignment="1" applyProtection="1">
      <alignment horizontal="center" vertical="center"/>
      <protection hidden="1"/>
    </xf>
    <xf numFmtId="43" fontId="64" fillId="67" borderId="110" xfId="1" applyFont="1" applyFill="1" applyBorder="1" applyAlignment="1" applyProtection="1">
      <alignment horizontal="center" vertical="center"/>
      <protection hidden="1"/>
    </xf>
    <xf numFmtId="43" fontId="5" fillId="67" borderId="110" xfId="0" applyNumberFormat="1" applyFont="1" applyFill="1" applyBorder="1" applyAlignment="1" applyProtection="1">
      <alignment horizontal="center" vertical="center"/>
      <protection hidden="1"/>
    </xf>
    <xf numFmtId="43" fontId="64" fillId="67" borderId="70" xfId="1" applyFont="1" applyFill="1" applyBorder="1" applyAlignment="1" applyProtection="1">
      <alignment horizontal="center" vertical="center"/>
      <protection hidden="1"/>
    </xf>
    <xf numFmtId="43" fontId="5" fillId="67" borderId="70" xfId="0" applyNumberFormat="1" applyFont="1" applyFill="1" applyBorder="1" applyAlignment="1" applyProtection="1">
      <alignment horizontal="center" vertical="center"/>
      <protection hidden="1"/>
    </xf>
    <xf numFmtId="43" fontId="64" fillId="67" borderId="128" xfId="1" applyFont="1" applyFill="1" applyBorder="1" applyAlignment="1" applyProtection="1">
      <alignment horizontal="center" vertical="center"/>
      <protection hidden="1"/>
    </xf>
    <xf numFmtId="43" fontId="5" fillId="67" borderId="200" xfId="0" applyNumberFormat="1" applyFont="1" applyFill="1" applyBorder="1" applyAlignment="1" applyProtection="1">
      <alignment horizontal="center" vertical="center"/>
      <protection hidden="1"/>
    </xf>
    <xf numFmtId="43" fontId="64" fillId="67" borderId="160" xfId="1" applyFont="1" applyFill="1" applyBorder="1" applyAlignment="1" applyProtection="1">
      <alignment horizontal="center" vertical="center"/>
      <protection hidden="1"/>
    </xf>
    <xf numFmtId="43" fontId="5" fillId="67" borderId="160" xfId="0" applyNumberFormat="1" applyFont="1" applyFill="1" applyBorder="1" applyAlignment="1" applyProtection="1">
      <alignment horizontal="center" vertical="center"/>
      <protection hidden="1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164" fontId="63" fillId="2" borderId="168" xfId="0" applyNumberFormat="1" applyFont="1" applyFill="1" applyBorder="1" applyAlignment="1" applyProtection="1">
      <alignment horizontal="center" vertical="top"/>
      <protection locked="0"/>
    </xf>
    <xf numFmtId="0" fontId="63" fillId="2" borderId="170" xfId="0" applyFont="1" applyFill="1" applyBorder="1" applyAlignment="1" applyProtection="1">
      <alignment horizontal="center" vertical="top"/>
      <protection locked="0"/>
    </xf>
    <xf numFmtId="0" fontId="5" fillId="59" borderId="0" xfId="0" applyFont="1" applyFill="1" applyAlignment="1">
      <alignment horizontal="center" vertical="center"/>
    </xf>
    <xf numFmtId="0" fontId="8" fillId="71" borderId="173" xfId="0" applyFont="1" applyFill="1" applyBorder="1" applyAlignment="1">
      <alignment horizontal="center" vertical="top"/>
    </xf>
    <xf numFmtId="0" fontId="8" fillId="71" borderId="174" xfId="0" applyFont="1" applyFill="1" applyBorder="1" applyAlignment="1">
      <alignment horizontal="center" vertical="top"/>
    </xf>
    <xf numFmtId="0" fontId="8" fillId="71" borderId="175" xfId="0" applyFont="1" applyFill="1" applyBorder="1" applyAlignment="1">
      <alignment horizontal="center" vertical="top"/>
    </xf>
    <xf numFmtId="0" fontId="8" fillId="71" borderId="179" xfId="0" applyFont="1" applyFill="1" applyBorder="1" applyAlignment="1">
      <alignment horizontal="center" vertical="top"/>
    </xf>
    <xf numFmtId="0" fontId="8" fillId="71" borderId="0" xfId="0" applyFont="1" applyFill="1" applyAlignment="1">
      <alignment horizontal="center" vertical="top"/>
    </xf>
    <xf numFmtId="0" fontId="8" fillId="71" borderId="180" xfId="0" applyFont="1" applyFill="1" applyBorder="1" applyAlignment="1">
      <alignment horizontal="center" vertical="top"/>
    </xf>
    <xf numFmtId="0" fontId="94" fillId="71" borderId="173" xfId="0" applyFont="1" applyFill="1" applyBorder="1" applyAlignment="1" applyProtection="1">
      <alignment horizontal="center" vertical="top"/>
      <protection hidden="1"/>
    </xf>
    <xf numFmtId="0" fontId="95" fillId="71" borderId="176" xfId="0" applyFont="1" applyFill="1" applyBorder="1"/>
    <xf numFmtId="0" fontId="94" fillId="71" borderId="174" xfId="0" applyFont="1" applyFill="1" applyBorder="1" applyAlignment="1" applyProtection="1">
      <alignment horizontal="center" vertical="top"/>
      <protection hidden="1"/>
    </xf>
    <xf numFmtId="0" fontId="95" fillId="71" borderId="177" xfId="0" applyFont="1" applyFill="1" applyBorder="1"/>
    <xf numFmtId="0" fontId="37" fillId="59" borderId="0" xfId="0" applyFont="1" applyFill="1" applyAlignment="1">
      <alignment horizontal="center" vertical="center" wrapText="1"/>
    </xf>
    <xf numFmtId="0" fontId="77" fillId="59" borderId="0" xfId="0" applyFont="1" applyFill="1" applyAlignment="1">
      <alignment horizontal="center" vertical="center" wrapText="1"/>
    </xf>
    <xf numFmtId="0" fontId="98" fillId="70" borderId="192" xfId="0" applyFont="1" applyFill="1" applyBorder="1" applyAlignment="1" applyProtection="1">
      <alignment horizontal="center" vertical="center" wrapText="1"/>
      <protection hidden="1"/>
    </xf>
    <xf numFmtId="0" fontId="99" fillId="70" borderId="193" xfId="0" applyFont="1" applyFill="1" applyBorder="1" applyAlignment="1">
      <alignment wrapText="1"/>
    </xf>
    <xf numFmtId="0" fontId="99" fillId="70" borderId="194" xfId="0" applyFont="1" applyFill="1" applyBorder="1" applyAlignment="1">
      <alignment wrapText="1"/>
    </xf>
    <xf numFmtId="0" fontId="99" fillId="70" borderId="195" xfId="0" applyFont="1" applyFill="1" applyBorder="1" applyAlignment="1">
      <alignment wrapText="1"/>
    </xf>
    <xf numFmtId="0" fontId="99" fillId="70" borderId="196" xfId="0" applyFont="1" applyFill="1" applyBorder="1" applyAlignment="1">
      <alignment wrapText="1"/>
    </xf>
    <xf numFmtId="0" fontId="99" fillId="70" borderId="197" xfId="0" applyFont="1" applyFill="1" applyBorder="1" applyAlignment="1">
      <alignment wrapText="1"/>
    </xf>
    <xf numFmtId="0" fontId="63" fillId="2" borderId="168" xfId="0" applyFont="1" applyFill="1" applyBorder="1" applyProtection="1">
      <protection locked="0"/>
    </xf>
    <xf numFmtId="0" fontId="63" fillId="2" borderId="169" xfId="0" applyFont="1" applyFill="1" applyBorder="1" applyProtection="1">
      <protection locked="0"/>
    </xf>
    <xf numFmtId="0" fontId="63" fillId="2" borderId="170" xfId="0" applyFont="1" applyFill="1" applyBorder="1" applyProtection="1">
      <protection locked="0"/>
    </xf>
    <xf numFmtId="0" fontId="8" fillId="72" borderId="174" xfId="0" applyFont="1" applyFill="1" applyBorder="1" applyAlignment="1" applyProtection="1">
      <alignment horizontal="center" vertical="top"/>
      <protection locked="0" hidden="1"/>
    </xf>
    <xf numFmtId="0" fontId="0" fillId="72" borderId="174" xfId="0" applyFill="1" applyBorder="1" applyAlignment="1">
      <alignment horizontal="center" vertical="top"/>
    </xf>
    <xf numFmtId="0" fontId="94" fillId="73" borderId="179" xfId="0" applyFont="1" applyFill="1" applyBorder="1" applyAlignment="1" applyProtection="1">
      <alignment horizontal="center" vertical="center" wrapText="1"/>
      <protection hidden="1"/>
    </xf>
    <xf numFmtId="0" fontId="95" fillId="73" borderId="0" xfId="0" applyFont="1" applyFill="1" applyAlignment="1">
      <alignment wrapText="1"/>
    </xf>
    <xf numFmtId="44" fontId="64" fillId="2" borderId="110" xfId="2" applyFont="1" applyFill="1" applyBorder="1" applyAlignment="1" applyProtection="1">
      <alignment horizontal="center" vertical="center"/>
      <protection hidden="1"/>
    </xf>
    <xf numFmtId="0" fontId="5" fillId="2" borderId="110" xfId="0" applyFont="1" applyFill="1" applyBorder="1" applyAlignment="1" applyProtection="1">
      <alignment horizontal="center" vertical="center"/>
      <protection hidden="1"/>
    </xf>
    <xf numFmtId="44" fontId="64" fillId="2" borderId="83" xfId="2" applyFont="1" applyFill="1" applyBorder="1" applyAlignment="1" applyProtection="1">
      <alignment horizontal="center" vertical="center"/>
      <protection hidden="1"/>
    </xf>
    <xf numFmtId="44" fontId="64" fillId="2" borderId="84" xfId="2" applyFont="1" applyFill="1" applyBorder="1" applyAlignment="1" applyProtection="1">
      <alignment horizontal="center" vertical="center"/>
      <protection hidden="1"/>
    </xf>
    <xf numFmtId="0" fontId="5" fillId="2" borderId="198" xfId="0" applyFont="1" applyFill="1" applyBorder="1" applyAlignment="1" applyProtection="1">
      <alignment horizontal="center" vertical="center"/>
      <protection hidden="1"/>
    </xf>
    <xf numFmtId="44" fontId="64" fillId="2" borderId="116" xfId="2" applyFont="1" applyFill="1" applyBorder="1" applyAlignment="1" applyProtection="1">
      <alignment horizontal="center" vertical="center"/>
      <protection hidden="1"/>
    </xf>
    <xf numFmtId="0" fontId="5" fillId="2" borderId="116" xfId="0" applyFont="1" applyFill="1" applyBorder="1" applyAlignment="1" applyProtection="1">
      <alignment horizontal="center" vertical="center"/>
      <protection hidden="1"/>
    </xf>
    <xf numFmtId="44" fontId="64" fillId="2" borderId="214" xfId="2" applyFont="1" applyFill="1" applyBorder="1" applyAlignment="1" applyProtection="1">
      <alignment horizontal="center" vertical="center"/>
      <protection hidden="1"/>
    </xf>
    <xf numFmtId="0" fontId="5" fillId="2" borderId="215" xfId="0" applyFont="1" applyFill="1" applyBorder="1" applyAlignment="1" applyProtection="1">
      <alignment horizontal="center" vertical="center"/>
      <protection hidden="1"/>
    </xf>
    <xf numFmtId="0" fontId="5" fillId="59" borderId="0" xfId="0" applyFont="1" applyFill="1" applyAlignment="1">
      <alignment horizontal="left" vertical="top" textRotation="180"/>
    </xf>
    <xf numFmtId="0" fontId="0" fillId="0" borderId="0" xfId="0"/>
    <xf numFmtId="0" fontId="4" fillId="69" borderId="0" xfId="0" applyFont="1" applyFill="1" applyAlignment="1">
      <alignment horizontal="left" vertical="top"/>
    </xf>
    <xf numFmtId="0" fontId="0" fillId="69" borderId="0" xfId="0" applyFill="1" applyAlignment="1">
      <alignment horizontal="left" vertical="top"/>
    </xf>
    <xf numFmtId="170" fontId="58" fillId="62" borderId="157" xfId="2" applyNumberFormat="1" applyFont="1" applyFill="1" applyBorder="1" applyAlignment="1" applyProtection="1">
      <alignment horizontal="center" vertical="center"/>
      <protection hidden="1"/>
    </xf>
    <xf numFmtId="170" fontId="58" fillId="62" borderId="158" xfId="2" applyNumberFormat="1" applyFont="1" applyFill="1" applyBorder="1" applyAlignment="1" applyProtection="1">
      <alignment horizontal="center" vertical="center"/>
      <protection hidden="1"/>
    </xf>
    <xf numFmtId="0" fontId="58" fillId="53" borderId="161" xfId="0" applyFont="1" applyFill="1" applyBorder="1" applyAlignment="1" applyProtection="1">
      <alignment horizontal="left" vertical="center"/>
      <protection hidden="1"/>
    </xf>
    <xf numFmtId="0" fontId="5" fillId="53" borderId="162" xfId="0" applyFont="1" applyFill="1" applyBorder="1" applyAlignment="1" applyProtection="1">
      <alignment vertical="center"/>
      <protection hidden="1"/>
    </xf>
    <xf numFmtId="0" fontId="5" fillId="53" borderId="163" xfId="0" applyFont="1" applyFill="1" applyBorder="1" applyAlignment="1" applyProtection="1">
      <alignment vertical="center"/>
      <protection hidden="1"/>
    </xf>
    <xf numFmtId="0" fontId="58" fillId="53" borderId="165" xfId="0" applyFont="1" applyFill="1" applyBorder="1" applyAlignment="1" applyProtection="1">
      <alignment horizontal="left" vertical="center"/>
      <protection hidden="1"/>
    </xf>
    <xf numFmtId="0" fontId="5" fillId="53" borderId="95" xfId="0" applyFont="1" applyFill="1" applyBorder="1" applyAlignment="1" applyProtection="1">
      <alignment vertical="center"/>
      <protection hidden="1"/>
    </xf>
    <xf numFmtId="0" fontId="5" fillId="53" borderId="96" xfId="0" applyFont="1" applyFill="1" applyBorder="1" applyAlignment="1" applyProtection="1">
      <alignment vertical="center"/>
      <protection hidden="1"/>
    </xf>
    <xf numFmtId="0" fontId="58" fillId="53" borderId="133" xfId="0" applyFont="1" applyFill="1" applyBorder="1" applyAlignment="1" applyProtection="1">
      <alignment horizontal="left" vertical="center"/>
      <protection hidden="1"/>
    </xf>
    <xf numFmtId="0" fontId="5" fillId="53" borderId="134" xfId="0" applyFont="1" applyFill="1" applyBorder="1" applyAlignment="1" applyProtection="1">
      <alignment vertical="center"/>
      <protection hidden="1"/>
    </xf>
    <xf numFmtId="0" fontId="5" fillId="53" borderId="135" xfId="0" applyFont="1" applyFill="1" applyBorder="1" applyAlignment="1" applyProtection="1">
      <alignment vertical="center"/>
      <protection hidden="1"/>
    </xf>
    <xf numFmtId="0" fontId="58" fillId="53" borderId="0" xfId="0" applyFont="1" applyFill="1" applyAlignment="1" applyProtection="1">
      <alignment horizontal="left" vertical="center"/>
      <protection hidden="1"/>
    </xf>
    <xf numFmtId="0" fontId="5" fillId="53" borderId="0" xfId="0" applyFont="1" applyFill="1" applyAlignment="1" applyProtection="1">
      <alignment horizontal="left" vertical="center"/>
      <protection hidden="1"/>
    </xf>
    <xf numFmtId="0" fontId="58" fillId="53" borderId="0" xfId="0" applyFont="1" applyFill="1" applyAlignment="1" applyProtection="1">
      <alignment horizontal="right" vertical="top" wrapText="1"/>
      <protection hidden="1"/>
    </xf>
    <xf numFmtId="0" fontId="0" fillId="0" borderId="0" xfId="0" applyAlignment="1">
      <alignment horizontal="right" vertical="top" wrapText="1"/>
    </xf>
    <xf numFmtId="0" fontId="6" fillId="53" borderId="132" xfId="0" applyFont="1" applyFill="1" applyBorder="1" applyAlignment="1" applyProtection="1">
      <alignment vertical="center" wrapText="1"/>
      <protection hidden="1"/>
    </xf>
    <xf numFmtId="0" fontId="5" fillId="53" borderId="132" xfId="0" applyFont="1" applyFill="1" applyBorder="1" applyAlignment="1" applyProtection="1">
      <alignment wrapText="1"/>
      <protection hidden="1"/>
    </xf>
    <xf numFmtId="0" fontId="5" fillId="53" borderId="136" xfId="0" applyFont="1" applyFill="1" applyBorder="1" applyAlignment="1" applyProtection="1">
      <alignment wrapText="1"/>
      <protection hidden="1"/>
    </xf>
    <xf numFmtId="0" fontId="5" fillId="53" borderId="138" xfId="0" applyFont="1" applyFill="1" applyBorder="1" applyAlignment="1" applyProtection="1">
      <alignment wrapText="1"/>
      <protection hidden="1"/>
    </xf>
    <xf numFmtId="0" fontId="5" fillId="53" borderId="139" xfId="0" applyFont="1" applyFill="1" applyBorder="1" applyAlignment="1" applyProtection="1">
      <alignment wrapText="1"/>
      <protection hidden="1"/>
    </xf>
    <xf numFmtId="44" fontId="64" fillId="2" borderId="216" xfId="2" applyFont="1" applyFill="1" applyBorder="1" applyAlignment="1" applyProtection="1">
      <alignment horizontal="center" vertical="center"/>
      <protection hidden="1"/>
    </xf>
    <xf numFmtId="0" fontId="5" fillId="2" borderId="212" xfId="0" applyFont="1" applyFill="1" applyBorder="1" applyAlignment="1" applyProtection="1">
      <alignment horizontal="center" vertical="center"/>
      <protection hidden="1"/>
    </xf>
    <xf numFmtId="44" fontId="64" fillId="2" borderId="205" xfId="2" applyFont="1" applyFill="1" applyBorder="1" applyAlignment="1" applyProtection="1">
      <alignment horizontal="center" vertical="center"/>
      <protection hidden="1"/>
    </xf>
    <xf numFmtId="0" fontId="5" fillId="2" borderId="206" xfId="0" applyFont="1" applyFill="1" applyBorder="1" applyAlignment="1" applyProtection="1">
      <alignment horizontal="center" vertical="center"/>
      <protection hidden="1"/>
    </xf>
    <xf numFmtId="43" fontId="64" fillId="67" borderId="80" xfId="1" applyFont="1" applyFill="1" applyBorder="1" applyAlignment="1" applyProtection="1">
      <alignment horizontal="center" vertical="center"/>
      <protection hidden="1"/>
    </xf>
    <xf numFmtId="43" fontId="5" fillId="67" borderId="80" xfId="0" applyNumberFormat="1" applyFont="1" applyFill="1" applyBorder="1" applyAlignment="1" applyProtection="1">
      <alignment horizontal="center" vertical="center"/>
      <protection hidden="1"/>
    </xf>
    <xf numFmtId="44" fontId="64" fillId="2" borderId="207" xfId="2" applyFont="1" applyFill="1" applyBorder="1" applyAlignment="1" applyProtection="1">
      <alignment horizontal="center" vertical="center"/>
      <protection hidden="1"/>
    </xf>
    <xf numFmtId="0" fontId="5" fillId="2" borderId="205" xfId="0" applyFont="1" applyFill="1" applyBorder="1" applyAlignment="1" applyProtection="1">
      <alignment horizontal="center" vertical="center"/>
      <protection hidden="1"/>
    </xf>
    <xf numFmtId="44" fontId="58" fillId="2" borderId="218" xfId="2" applyFont="1" applyFill="1" applyBorder="1" applyAlignment="1" applyProtection="1">
      <alignment horizontal="center" vertical="center"/>
      <protection hidden="1"/>
    </xf>
    <xf numFmtId="0" fontId="0" fillId="0" borderId="219" xfId="0" applyBorder="1" applyAlignment="1">
      <alignment horizontal="center" vertical="center"/>
    </xf>
    <xf numFmtId="0" fontId="61" fillId="55" borderId="0" xfId="0" applyFont="1" applyFill="1" applyAlignment="1" applyProtection="1">
      <alignment horizontal="center" vertical="center" wrapText="1"/>
      <protection hidden="1"/>
    </xf>
    <xf numFmtId="0" fontId="76" fillId="55" borderId="0" xfId="0" applyFont="1" applyFill="1" applyAlignment="1" applyProtection="1">
      <alignment horizontal="center" vertical="center" wrapText="1"/>
      <protection hidden="1"/>
    </xf>
    <xf numFmtId="0" fontId="79" fillId="74" borderId="184" xfId="0" applyFont="1" applyFill="1" applyBorder="1" applyAlignment="1" applyProtection="1">
      <alignment horizontal="center" vertical="center"/>
      <protection hidden="1"/>
    </xf>
    <xf numFmtId="0" fontId="0" fillId="74" borderId="185" xfId="0" applyFill="1" applyBorder="1"/>
    <xf numFmtId="0" fontId="0" fillId="74" borderId="186" xfId="0" applyFill="1" applyBorder="1"/>
    <xf numFmtId="0" fontId="0" fillId="74" borderId="187" xfId="0" applyFill="1" applyBorder="1"/>
    <xf numFmtId="0" fontId="0" fillId="74" borderId="188" xfId="0" applyFill="1" applyBorder="1"/>
    <xf numFmtId="0" fontId="0" fillId="74" borderId="189" xfId="0" applyFill="1" applyBorder="1"/>
    <xf numFmtId="0" fontId="64" fillId="53" borderId="131" xfId="0" applyFont="1" applyFill="1" applyBorder="1" applyAlignment="1" applyProtection="1">
      <alignment horizontal="left" vertical="center" wrapText="1"/>
      <protection hidden="1"/>
    </xf>
    <xf numFmtId="0" fontId="5" fillId="53" borderId="132" xfId="0" applyFont="1" applyFill="1" applyBorder="1" applyAlignment="1" applyProtection="1">
      <alignment horizontal="left" wrapText="1"/>
      <protection hidden="1"/>
    </xf>
    <xf numFmtId="0" fontId="64" fillId="53" borderId="137" xfId="0" applyFont="1" applyFill="1" applyBorder="1" applyAlignment="1" applyProtection="1">
      <alignment horizontal="left" vertical="center" wrapText="1"/>
      <protection hidden="1"/>
    </xf>
    <xf numFmtId="0" fontId="5" fillId="53" borderId="138" xfId="0" applyFont="1" applyFill="1" applyBorder="1" applyAlignment="1" applyProtection="1">
      <alignment horizontal="left" wrapText="1"/>
      <protection hidden="1"/>
    </xf>
    <xf numFmtId="43" fontId="64" fillId="67" borderId="216" xfId="1" applyFont="1" applyFill="1" applyBorder="1" applyAlignment="1" applyProtection="1">
      <alignment horizontal="center" vertical="center"/>
      <protection hidden="1"/>
    </xf>
    <xf numFmtId="43" fontId="5" fillId="67" borderId="212" xfId="0" applyNumberFormat="1" applyFont="1" applyFill="1" applyBorder="1" applyAlignment="1" applyProtection="1">
      <alignment horizontal="center" vertical="center"/>
      <protection hidden="1"/>
    </xf>
    <xf numFmtId="44" fontId="34" fillId="54" borderId="0" xfId="2" applyFont="1" applyFill="1" applyBorder="1" applyAlignment="1" applyProtection="1">
      <alignment horizontal="center"/>
      <protection hidden="1"/>
    </xf>
    <xf numFmtId="0" fontId="0" fillId="54" borderId="0" xfId="0" applyFill="1"/>
    <xf numFmtId="0" fontId="67" fillId="0" borderId="129" xfId="0" applyFont="1" applyBorder="1" applyAlignment="1" applyProtection="1">
      <alignment horizontal="center" vertical="center" textRotation="60" wrapText="1"/>
      <protection hidden="1"/>
    </xf>
    <xf numFmtId="0" fontId="0" fillId="0" borderId="130" xfId="0" applyBorder="1" applyAlignment="1" applyProtection="1">
      <alignment horizontal="center" vertical="center" textRotation="60" wrapText="1"/>
      <protection hidden="1"/>
    </xf>
    <xf numFmtId="0" fontId="0" fillId="0" borderId="80" xfId="0" applyBorder="1" applyAlignment="1" applyProtection="1">
      <alignment horizontal="center" vertical="center" textRotation="60" wrapText="1"/>
      <protection hidden="1"/>
    </xf>
    <xf numFmtId="0" fontId="67" fillId="0" borderId="129" xfId="0" applyFont="1" applyBorder="1" applyAlignment="1" applyProtection="1">
      <alignment horizontal="center" vertical="center" textRotation="59" wrapText="1"/>
      <protection hidden="1"/>
    </xf>
    <xf numFmtId="0" fontId="0" fillId="0" borderId="130" xfId="0" applyBorder="1" applyAlignment="1" applyProtection="1">
      <alignment horizontal="center" vertical="center" textRotation="59" wrapText="1"/>
      <protection hidden="1"/>
    </xf>
    <xf numFmtId="0" fontId="0" fillId="0" borderId="80" xfId="0" applyBorder="1" applyAlignment="1" applyProtection="1">
      <alignment horizontal="center" vertical="center" textRotation="59" wrapText="1"/>
      <protection hidden="1"/>
    </xf>
    <xf numFmtId="0" fontId="0" fillId="0" borderId="130" xfId="0" applyBorder="1" applyAlignment="1">
      <alignment horizontal="center" vertical="center" textRotation="60" wrapText="1"/>
    </xf>
    <xf numFmtId="0" fontId="0" fillId="0" borderId="80" xfId="0" applyBorder="1" applyAlignment="1">
      <alignment horizontal="center" vertical="center" textRotation="60" wrapText="1"/>
    </xf>
    <xf numFmtId="0" fontId="97" fillId="0" borderId="0" xfId="0" applyFont="1" applyAlignment="1" applyProtection="1">
      <alignment horizontal="center" vertical="center" wrapText="1"/>
      <protection hidden="1"/>
    </xf>
    <xf numFmtId="164" fontId="5" fillId="0" borderId="0" xfId="0" applyNumberFormat="1" applyFont="1" applyAlignment="1" applyProtection="1">
      <alignment horizontal="center"/>
      <protection hidden="1"/>
    </xf>
    <xf numFmtId="0" fontId="43" fillId="54" borderId="0" xfId="0" applyFont="1" applyFill="1" applyAlignment="1" applyProtection="1">
      <alignment horizontal="center"/>
      <protection hidden="1"/>
    </xf>
    <xf numFmtId="0" fontId="0" fillId="54" borderId="0" xfId="0" applyFill="1" applyAlignment="1">
      <alignment horizontal="center"/>
    </xf>
    <xf numFmtId="44" fontId="37" fillId="0" borderId="87" xfId="2" applyFont="1" applyBorder="1" applyAlignment="1" applyProtection="1">
      <alignment wrapText="1"/>
      <protection hidden="1"/>
    </xf>
    <xf numFmtId="44" fontId="37" fillId="0" borderId="89" xfId="2" applyFont="1" applyBorder="1" applyAlignment="1" applyProtection="1">
      <alignment wrapText="1"/>
      <protection hidden="1"/>
    </xf>
    <xf numFmtId="44" fontId="86" fillId="2" borderId="92" xfId="2" applyFont="1" applyFill="1" applyBorder="1" applyAlignment="1" applyProtection="1">
      <alignment horizontal="center" vertical="center" wrapText="1"/>
      <protection hidden="1"/>
    </xf>
    <xf numFmtId="0" fontId="87" fillId="0" borderId="94" xfId="0" applyFont="1" applyBorder="1" applyAlignment="1">
      <alignment horizontal="center" vertical="center" wrapText="1"/>
    </xf>
    <xf numFmtId="0" fontId="87" fillId="0" borderId="91" xfId="0" applyFont="1" applyBorder="1" applyAlignment="1">
      <alignment horizontal="center" vertical="center" wrapText="1"/>
    </xf>
    <xf numFmtId="0" fontId="87" fillId="0" borderId="96" xfId="0" applyFont="1" applyBorder="1" applyAlignment="1">
      <alignment horizontal="center" vertical="center" wrapText="1"/>
    </xf>
    <xf numFmtId="170" fontId="86" fillId="2" borderId="92" xfId="2" applyNumberFormat="1" applyFont="1" applyFill="1" applyBorder="1" applyAlignment="1" applyProtection="1">
      <alignment horizontal="center" vertical="center" wrapText="1"/>
      <protection hidden="1"/>
    </xf>
    <xf numFmtId="44" fontId="34" fillId="58" borderId="0" xfId="2" applyFont="1" applyFill="1" applyBorder="1" applyAlignment="1" applyProtection="1">
      <alignment horizontal="left" vertical="center"/>
      <protection hidden="1"/>
    </xf>
    <xf numFmtId="44" fontId="81" fillId="58" borderId="0" xfId="2" applyFont="1" applyFill="1" applyBorder="1" applyAlignment="1" applyProtection="1">
      <alignment horizontal="left" vertical="center"/>
      <protection hidden="1"/>
    </xf>
    <xf numFmtId="0" fontId="14" fillId="2" borderId="32" xfId="10" applyFont="1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2" fillId="42" borderId="33" xfId="10" applyFont="1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2" fillId="41" borderId="31" xfId="10" applyFont="1" applyFill="1" applyBorder="1" applyAlignment="1" applyProtection="1">
      <alignment horizontal="center" wrapText="1"/>
      <protection hidden="1"/>
    </xf>
    <xf numFmtId="0" fontId="0" fillId="0" borderId="34" xfId="0" applyBorder="1" applyAlignment="1">
      <alignment horizontal="center" wrapText="1"/>
    </xf>
    <xf numFmtId="43" fontId="4" fillId="47" borderId="72" xfId="1" quotePrefix="1" applyFont="1" applyFill="1" applyBorder="1" applyAlignment="1" applyProtection="1">
      <alignment horizontal="center" vertical="center" wrapText="1"/>
      <protection hidden="1"/>
    </xf>
    <xf numFmtId="0" fontId="0" fillId="0" borderId="71" xfId="0" applyBorder="1" applyAlignment="1">
      <alignment wrapText="1"/>
    </xf>
  </cellXfs>
  <cellStyles count="57">
    <cellStyle name="20% - Accent1" xfId="31" builtinId="30" customBuiltin="1"/>
    <cellStyle name="20% - Accent2" xfId="35" builtinId="34" customBuiltin="1"/>
    <cellStyle name="20% - Accent3" xfId="39" builtinId="38" customBuiltin="1"/>
    <cellStyle name="20% - Accent4" xfId="43" builtinId="42" customBuiltin="1"/>
    <cellStyle name="20% - Accent5" xfId="47" builtinId="46" customBuiltin="1"/>
    <cellStyle name="20% - Accent6" xfId="51" builtinId="50" customBuiltin="1"/>
    <cellStyle name="40% - Accent1" xfId="32" builtinId="31" customBuiltin="1"/>
    <cellStyle name="40% - Accent2" xfId="36" builtinId="35" customBuiltin="1"/>
    <cellStyle name="40% - Accent3" xfId="40" builtinId="39" customBuiltin="1"/>
    <cellStyle name="40% - Accent4" xfId="44" builtinId="43" customBuiltin="1"/>
    <cellStyle name="40% - Accent5" xfId="48" builtinId="47" customBuiltin="1"/>
    <cellStyle name="40% - Accent6" xfId="52" builtinId="51" customBuiltin="1"/>
    <cellStyle name="60% - Accent1" xfId="33" builtinId="32" customBuiltin="1"/>
    <cellStyle name="60% - Accent2" xfId="37" builtinId="36" customBuiltin="1"/>
    <cellStyle name="60% - Accent3" xfId="41" builtinId="40" customBuiltin="1"/>
    <cellStyle name="60% - Accent4" xfId="45" builtinId="44" customBuiltin="1"/>
    <cellStyle name="60% - Accent5" xfId="49" builtinId="48" customBuiltin="1"/>
    <cellStyle name="60% - Accent6" xfId="53" builtinId="52" customBuiltin="1"/>
    <cellStyle name="Accent1" xfId="30" builtinId="29" customBuiltin="1"/>
    <cellStyle name="Accent2" xfId="34" builtinId="33" customBuiltin="1"/>
    <cellStyle name="Accent3" xfId="38" builtinId="37" customBuiltin="1"/>
    <cellStyle name="Accent4" xfId="42" builtinId="41" customBuiltin="1"/>
    <cellStyle name="Accent5" xfId="46" builtinId="45" customBuiltin="1"/>
    <cellStyle name="Accent6" xfId="50" builtinId="49" customBuiltin="1"/>
    <cellStyle name="Bad" xfId="19" builtinId="27" customBuiltin="1"/>
    <cellStyle name="Calculation" xfId="23" builtinId="22" customBuiltin="1"/>
    <cellStyle name="Check Cell" xfId="25" builtinId="23" customBuiltin="1"/>
    <cellStyle name="Comma" xfId="1" builtinId="3"/>
    <cellStyle name="Comma 2" xfId="11" xr:uid="{00000000-0005-0000-0000-00001C000000}"/>
    <cellStyle name="Comma 3" xfId="4" xr:uid="{00000000-0005-0000-0000-00001D000000}"/>
    <cellStyle name="Comma 4" xfId="55" xr:uid="{00000000-0005-0000-0000-00001E000000}"/>
    <cellStyle name="Currency" xfId="2" builtinId="4"/>
    <cellStyle name="Currency 2" xfId="9" xr:uid="{00000000-0005-0000-0000-000021000000}"/>
    <cellStyle name="Currency 3" xfId="8" xr:uid="{00000000-0005-0000-0000-000022000000}"/>
    <cellStyle name="Currency 4" xfId="12" xr:uid="{00000000-0005-0000-0000-000023000000}"/>
    <cellStyle name="Currency 5" xfId="5" xr:uid="{00000000-0005-0000-0000-000024000000}"/>
    <cellStyle name="Currency 6" xfId="56" xr:uid="{00000000-0005-0000-0000-000025000000}"/>
    <cellStyle name="Explanatory Text" xfId="28" builtinId="53" customBuilti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Input" xfId="21" builtinId="20" customBuiltin="1"/>
    <cellStyle name="Linked Cell" xfId="24" builtinId="24" customBuiltin="1"/>
    <cellStyle name="Neutral" xfId="20" builtinId="28" customBuiltin="1"/>
    <cellStyle name="Normal" xfId="0" builtinId="0"/>
    <cellStyle name="Normal 2" xfId="6" xr:uid="{00000000-0005-0000-0000-000030000000}"/>
    <cellStyle name="Normal 3" xfId="7" xr:uid="{00000000-0005-0000-0000-000031000000}"/>
    <cellStyle name="Normal 4" xfId="10" xr:uid="{00000000-0005-0000-0000-000032000000}"/>
    <cellStyle name="Normal 5" xfId="13" xr:uid="{00000000-0005-0000-0000-000033000000}"/>
    <cellStyle name="Normal 6" xfId="3" xr:uid="{00000000-0005-0000-0000-000034000000}"/>
    <cellStyle name="Note" xfId="27" builtinId="10" customBuiltin="1"/>
    <cellStyle name="Output" xfId="22" builtinId="21" customBuiltin="1"/>
    <cellStyle name="Title 2" xfId="54" xr:uid="{00000000-0005-0000-0000-000039000000}"/>
    <cellStyle name="Total" xfId="29" builtinId="25" customBuiltin="1"/>
    <cellStyle name="Warning Text" xfId="26" builtinId="11" customBuiltin="1"/>
  </cellStyles>
  <dxfs count="0"/>
  <tableStyles count="0" defaultTableStyle="TableStyleMedium2" defaultPivotStyle="PivotStyleLight16"/>
  <colors>
    <mruColors>
      <color rgb="FF9DF9AC"/>
      <color rgb="FFCDF04E"/>
      <color rgb="FF007E39"/>
      <color rgb="FF225B68"/>
      <color rgb="FF31869B"/>
      <color rgb="FF1BACF5"/>
      <color rgb="FF7CDE7C"/>
      <color rgb="FF00B050"/>
      <color rgb="FFC1FBCB"/>
      <color rgb="FF2C76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g"/><Relationship Id="rId7" Type="http://schemas.openxmlformats.org/officeDocument/2006/relationships/image" Target="../media/image13.jpg"/><Relationship Id="rId2" Type="http://schemas.openxmlformats.org/officeDocument/2006/relationships/image" Target="../media/image8.jpg"/><Relationship Id="rId1" Type="http://schemas.openxmlformats.org/officeDocument/2006/relationships/image" Target="../media/image7.jpg"/><Relationship Id="rId6" Type="http://schemas.openxmlformats.org/officeDocument/2006/relationships/image" Target="../media/image12.jpg"/><Relationship Id="rId5" Type="http://schemas.openxmlformats.org/officeDocument/2006/relationships/image" Target="../media/image11.jpg"/><Relationship Id="rId4" Type="http://schemas.openxmlformats.org/officeDocument/2006/relationships/image" Target="../media/image10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</xdr:row>
      <xdr:rowOff>9525</xdr:rowOff>
    </xdr:from>
    <xdr:to>
      <xdr:col>15</xdr:col>
      <xdr:colOff>257175</xdr:colOff>
      <xdr:row>21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26A79B-19F1-B4D7-6A7C-F8948F70B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200025"/>
          <a:ext cx="6315075" cy="3829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114097</xdr:colOff>
      <xdr:row>1</xdr:row>
      <xdr:rowOff>39225</xdr:rowOff>
    </xdr:from>
    <xdr:to>
      <xdr:col>13</xdr:col>
      <xdr:colOff>397927</xdr:colOff>
      <xdr:row>3</xdr:row>
      <xdr:rowOff>43149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52645" y="131402"/>
          <a:ext cx="724233" cy="679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</xdr:row>
          <xdr:rowOff>28575</xdr:rowOff>
        </xdr:from>
        <xdr:to>
          <xdr:col>2</xdr:col>
          <xdr:colOff>171450</xdr:colOff>
          <xdr:row>3</xdr:row>
          <xdr:rowOff>28575</xdr:rowOff>
        </xdr:to>
        <xdr:sp macro="" textlink="">
          <xdr:nvSpPr>
            <xdr:cNvPr id="2082" name="imgBValueLogo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152401</xdr:colOff>
      <xdr:row>1</xdr:row>
      <xdr:rowOff>18753</xdr:rowOff>
    </xdr:from>
    <xdr:to>
      <xdr:col>10</xdr:col>
      <xdr:colOff>764973</xdr:colOff>
      <xdr:row>2</xdr:row>
      <xdr:rowOff>174720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05926" y="123528"/>
          <a:ext cx="612572" cy="5750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333375</xdr:colOff>
      <xdr:row>1</xdr:row>
      <xdr:rowOff>85725</xdr:rowOff>
    </xdr:from>
    <xdr:to>
      <xdr:col>2</xdr:col>
      <xdr:colOff>1552575</xdr:colOff>
      <xdr:row>3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190500"/>
          <a:ext cx="2505075" cy="590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123818</xdr:colOff>
      <xdr:row>0</xdr:row>
      <xdr:rowOff>133350</xdr:rowOff>
    </xdr:from>
    <xdr:to>
      <xdr:col>18</xdr:col>
      <xdr:colOff>224307</xdr:colOff>
      <xdr:row>30</xdr:row>
      <xdr:rowOff>82868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F44F9D-7AB7-6CAC-D767-8132E7146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18" y="133350"/>
          <a:ext cx="9854089" cy="5664518"/>
        </a:xfrm>
        <a:prstGeom prst="rect">
          <a:avLst/>
        </a:prstGeom>
      </xdr:spPr>
    </xdr:pic>
    <xdr:clientData/>
  </xdr:twoCellAnchor>
  <xdr:twoCellAnchor editAs="oneCell">
    <xdr:from>
      <xdr:col>2</xdr:col>
      <xdr:colOff>133340</xdr:colOff>
      <xdr:row>30</xdr:row>
      <xdr:rowOff>66672</xdr:rowOff>
    </xdr:from>
    <xdr:to>
      <xdr:col>18</xdr:col>
      <xdr:colOff>247649</xdr:colOff>
      <xdr:row>36</xdr:row>
      <xdr:rowOff>127156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F7BDD62-1B24-851B-F320-D19B80A1D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40" y="5781672"/>
          <a:ext cx="9867909" cy="12034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180975</xdr:rowOff>
    </xdr:from>
    <xdr:to>
      <xdr:col>19</xdr:col>
      <xdr:colOff>161925</xdr:colOff>
      <xdr:row>29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94FA23-8DFA-7A34-464D-0C351EECB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80975"/>
          <a:ext cx="11029950" cy="551497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30</xdr:row>
      <xdr:rowOff>9525</xdr:rowOff>
    </xdr:from>
    <xdr:to>
      <xdr:col>19</xdr:col>
      <xdr:colOff>161925</xdr:colOff>
      <xdr:row>44</xdr:row>
      <xdr:rowOff>171450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A9F5238-7C39-ABDD-A0F4-5CBAA8800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5724525"/>
          <a:ext cx="11001375" cy="2828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10</xdr:col>
      <xdr:colOff>9525</xdr:colOff>
      <xdr:row>71</xdr:row>
      <xdr:rowOff>38100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BECC5D1-44FB-4AF9-2D8D-C567F84E0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572500"/>
          <a:ext cx="5495925" cy="49911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19</xdr:col>
      <xdr:colOff>57150</xdr:colOff>
      <xdr:row>74</xdr:row>
      <xdr:rowOff>133350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0E1CD9B-DC02-5FE3-51E0-DC0CE56FF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8572500"/>
          <a:ext cx="5543550" cy="5657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17</xdr:col>
      <xdr:colOff>152400</xdr:colOff>
      <xdr:row>104</xdr:row>
      <xdr:rowOff>171450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32C894B-13DF-ECE0-A834-F3BB13094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4478000"/>
          <a:ext cx="9906000" cy="55054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</xdr:row>
      <xdr:rowOff>0</xdr:rowOff>
    </xdr:from>
    <xdr:to>
      <xdr:col>17</xdr:col>
      <xdr:colOff>200025</xdr:colOff>
      <xdr:row>133</xdr:row>
      <xdr:rowOff>152400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0CC2413-44CB-8ECA-37C4-6A0A87928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0002500"/>
          <a:ext cx="9953625" cy="5486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17</xdr:col>
      <xdr:colOff>238125</xdr:colOff>
      <xdr:row>142</xdr:row>
      <xdr:rowOff>123825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C78B426-1746-C2B7-6624-D31CB77F0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5527000"/>
          <a:ext cx="9991725" cy="1647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02A78-1CB2-4773-B199-950CAEC51573}">
  <sheetPr codeName="Sheet3">
    <tabColor rgb="FF007E39"/>
  </sheetPr>
  <dimension ref="A1:U30"/>
  <sheetViews>
    <sheetView showGridLines="0" showRowColHeaders="0" workbookViewId="0">
      <selection activeCell="U1" sqref="U1"/>
    </sheetView>
  </sheetViews>
  <sheetFormatPr defaultRowHeight="15" x14ac:dyDescent="0.25"/>
  <sheetData>
    <row r="1" spans="1:21" x14ac:dyDescent="0.25">
      <c r="A1" s="621"/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  <c r="R1" s="621"/>
      <c r="S1" s="621"/>
      <c r="T1" s="621"/>
      <c r="U1" s="621"/>
    </row>
    <row r="2" spans="1:21" x14ac:dyDescent="0.25">
      <c r="A2" s="621"/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1"/>
      <c r="S2" s="621"/>
      <c r="T2" s="621"/>
      <c r="U2" s="621"/>
    </row>
    <row r="3" spans="1:21" x14ac:dyDescent="0.25">
      <c r="A3" s="621"/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</row>
    <row r="4" spans="1:21" x14ac:dyDescent="0.25">
      <c r="A4" s="621"/>
      <c r="B4" s="621"/>
      <c r="C4" s="621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</row>
    <row r="5" spans="1:21" x14ac:dyDescent="0.25">
      <c r="A5" s="621"/>
      <c r="B5" s="621"/>
      <c r="C5" s="621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</row>
    <row r="6" spans="1:21" x14ac:dyDescent="0.25">
      <c r="A6" s="621"/>
      <c r="B6" s="621"/>
      <c r="C6" s="621"/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</row>
    <row r="7" spans="1:21" x14ac:dyDescent="0.25">
      <c r="A7" s="621"/>
      <c r="B7" s="621"/>
      <c r="C7" s="621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</row>
    <row r="8" spans="1:21" x14ac:dyDescent="0.25">
      <c r="A8" s="621"/>
      <c r="B8" s="621"/>
      <c r="C8" s="621"/>
      <c r="D8" s="621"/>
      <c r="E8" s="621"/>
      <c r="F8" s="621"/>
      <c r="G8" s="621"/>
      <c r="H8" s="621"/>
      <c r="I8" s="621"/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</row>
    <row r="9" spans="1:21" x14ac:dyDescent="0.25">
      <c r="A9" s="621"/>
      <c r="B9" s="621"/>
      <c r="C9" s="621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</row>
    <row r="10" spans="1:21" x14ac:dyDescent="0.25">
      <c r="A10" s="621"/>
      <c r="B10" s="621"/>
      <c r="C10" s="621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</row>
    <row r="11" spans="1:21" x14ac:dyDescent="0.25">
      <c r="A11" s="621"/>
      <c r="B11" s="621"/>
      <c r="C11" s="621"/>
      <c r="D11" s="621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</row>
    <row r="12" spans="1:21" x14ac:dyDescent="0.25">
      <c r="A12" s="621"/>
      <c r="B12" s="621"/>
      <c r="C12" s="621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</row>
    <row r="13" spans="1:21" x14ac:dyDescent="0.25">
      <c r="A13" s="621"/>
      <c r="B13" s="621"/>
      <c r="C13" s="621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</row>
    <row r="14" spans="1:21" x14ac:dyDescent="0.25">
      <c r="A14" s="621"/>
      <c r="B14" s="621"/>
      <c r="C14" s="621"/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</row>
    <row r="15" spans="1:21" x14ac:dyDescent="0.25">
      <c r="A15" s="621"/>
      <c r="B15" s="621"/>
      <c r="C15" s="621"/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</row>
    <row r="16" spans="1:21" x14ac:dyDescent="0.25">
      <c r="A16" s="621"/>
      <c r="B16" s="621"/>
      <c r="C16" s="621"/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</row>
    <row r="17" spans="1:21" x14ac:dyDescent="0.25">
      <c r="A17" s="621"/>
      <c r="B17" s="621"/>
      <c r="C17" s="621"/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</row>
    <row r="18" spans="1:21" x14ac:dyDescent="0.25">
      <c r="A18" s="621"/>
      <c r="B18" s="621"/>
      <c r="C18" s="621"/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</row>
    <row r="19" spans="1:21" x14ac:dyDescent="0.25">
      <c r="A19" s="621"/>
      <c r="B19" s="621"/>
      <c r="C19" s="621"/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</row>
    <row r="20" spans="1:21" x14ac:dyDescent="0.25">
      <c r="A20" s="621"/>
      <c r="B20" s="621"/>
      <c r="C20" s="621"/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</row>
    <row r="21" spans="1:21" x14ac:dyDescent="0.25">
      <c r="A21" s="621"/>
      <c r="B21" s="621"/>
      <c r="C21" s="621"/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</row>
    <row r="22" spans="1:21" x14ac:dyDescent="0.25">
      <c r="A22" s="621"/>
      <c r="B22" s="621"/>
      <c r="C22" s="621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</row>
    <row r="23" spans="1:21" x14ac:dyDescent="0.25">
      <c r="A23" s="621"/>
      <c r="B23" s="621"/>
      <c r="C23" s="621"/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</row>
    <row r="24" spans="1:21" x14ac:dyDescent="0.25">
      <c r="A24" s="621"/>
      <c r="B24" s="621"/>
      <c r="C24" s="621"/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</row>
    <row r="25" spans="1:21" x14ac:dyDescent="0.25">
      <c r="A25" s="621"/>
      <c r="B25" s="621"/>
      <c r="C25" s="621"/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</row>
    <row r="26" spans="1:21" x14ac:dyDescent="0.25">
      <c r="A26" s="621"/>
      <c r="B26" s="621"/>
      <c r="C26" s="621"/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</row>
    <row r="27" spans="1:21" x14ac:dyDescent="0.25">
      <c r="A27" s="621"/>
      <c r="B27" s="621"/>
      <c r="C27" s="621"/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</row>
    <row r="28" spans="1:21" x14ac:dyDescent="0.25">
      <c r="A28" s="621"/>
      <c r="B28" s="621"/>
      <c r="C28" s="621"/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</row>
    <row r="29" spans="1:21" x14ac:dyDescent="0.25">
      <c r="A29" s="621"/>
      <c r="B29" s="621"/>
      <c r="C29" s="621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</row>
    <row r="30" spans="1:21" x14ac:dyDescent="0.25">
      <c r="A30" s="621"/>
      <c r="B30" s="621"/>
      <c r="C30" s="621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</row>
  </sheetData>
  <sheetProtection algorithmName="SHA-512" hashValue="uM5o1omUc5gHuf/B3Pcz8qsG+On0JL49IKkYO0byUako+ICsuaOt0B8A9kDStNPj7uw7V2JrBbiojwatPIs0nA==" saltValue="rmMJijuzEPhpvkucagxzBA==" spinCount="100000" sheet="1" objects="1" scenarios="1"/>
  <pageMargins left="0.7" right="0.7" top="0.75" bottom="0.75" header="0.3" footer="0.3"/>
  <headerFooter>
    <oddFooter>&amp;R_x000D_&amp;1#&amp;"Calibri"&amp;22&amp;KFF8939 RESTRICTED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3CFE"/>
    <pageSetUpPr autoPageBreaks="0"/>
  </sheetPr>
  <dimension ref="A1:AH140"/>
  <sheetViews>
    <sheetView showGridLines="0" showRowColHeaders="0" tabSelected="1" zoomScale="93" zoomScaleNormal="93" workbookViewId="0">
      <pane ySplit="4" topLeftCell="A5" activePane="bottomLeft" state="frozen"/>
      <selection activeCell="I1" sqref="I1"/>
      <selection pane="bottomLeft" activeCell="L9" sqref="L9"/>
    </sheetView>
  </sheetViews>
  <sheetFormatPr defaultRowHeight="15" x14ac:dyDescent="0.25"/>
  <cols>
    <col min="1" max="1" width="2.7109375" customWidth="1"/>
    <col min="2" max="2" width="37.42578125" customWidth="1"/>
    <col min="3" max="3" width="10.140625" customWidth="1"/>
    <col min="4" max="4" width="11.7109375" customWidth="1"/>
    <col min="5" max="5" width="15.140625" customWidth="1"/>
    <col min="6" max="6" width="34.42578125" customWidth="1"/>
    <col min="7" max="7" width="10.140625" customWidth="1"/>
    <col min="8" max="8" width="11.7109375" customWidth="1"/>
    <col min="9" max="9" width="15.140625" customWidth="1"/>
    <col min="10" max="10" width="8.7109375" customWidth="1"/>
    <col min="11" max="11" width="11.5703125" bestFit="1" customWidth="1"/>
    <col min="12" max="12" width="12.28515625" customWidth="1"/>
    <col min="13" max="13" width="6.5703125" customWidth="1"/>
    <col min="14" max="14" width="20.5703125" customWidth="1"/>
    <col min="15" max="15" width="12.85546875" customWidth="1"/>
    <col min="16" max="16" width="3.42578125" customWidth="1"/>
    <col min="17" max="17" width="18.140625" hidden="1" customWidth="1"/>
    <col min="18" max="18" width="11.5703125" hidden="1" customWidth="1"/>
    <col min="19" max="34" width="9.140625" hidden="1" customWidth="1"/>
    <col min="35" max="35" width="9.140625" customWidth="1"/>
  </cols>
  <sheetData>
    <row r="1" spans="1:30" ht="7.5" customHeight="1" x14ac:dyDescent="0.25">
      <c r="D1" s="636" t="str">
        <f>+R5 &amp; " " &amp;V5</f>
        <v>2026 BayerValue™  Rebate Calculator</v>
      </c>
      <c r="E1" s="636"/>
      <c r="F1" s="636"/>
    </row>
    <row r="2" spans="1:30" ht="36.75" customHeight="1" x14ac:dyDescent="0.4">
      <c r="D2" s="636"/>
      <c r="E2" s="636"/>
      <c r="F2" s="636"/>
      <c r="G2" s="337"/>
      <c r="H2" s="337"/>
      <c r="K2" s="3"/>
      <c r="M2" s="713"/>
      <c r="N2" s="714"/>
      <c r="AA2" s="181" t="str">
        <f>+R5 &amp; " " &amp;V5</f>
        <v>2026 BayerValue™  Rebate Calculator</v>
      </c>
      <c r="AB2" s="182"/>
      <c r="AC2" s="182"/>
      <c r="AD2" s="182"/>
    </row>
    <row r="3" spans="1:30" ht="15.75" x14ac:dyDescent="0.25">
      <c r="D3" s="637" t="s">
        <v>366</v>
      </c>
      <c r="E3" s="638"/>
      <c r="F3" s="638"/>
      <c r="G3" s="338"/>
      <c r="H3" s="338"/>
      <c r="M3" s="715"/>
      <c r="N3" s="715"/>
    </row>
    <row r="4" spans="1:30" ht="11.25" customHeight="1" x14ac:dyDescent="0.25">
      <c r="B4" s="4"/>
      <c r="D4" s="637" t="s">
        <v>449</v>
      </c>
      <c r="E4" s="638"/>
      <c r="F4" s="638"/>
      <c r="G4" s="338"/>
      <c r="H4" s="338"/>
      <c r="M4" s="2"/>
      <c r="N4" s="2"/>
    </row>
    <row r="5" spans="1:30" ht="19.5" customHeight="1" x14ac:dyDescent="0.35">
      <c r="A5" s="362"/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718" t="s">
        <v>424</v>
      </c>
      <c r="N5" s="718"/>
      <c r="O5" s="362"/>
      <c r="P5" s="362"/>
      <c r="R5" s="438" t="s">
        <v>425</v>
      </c>
      <c r="S5" s="179"/>
      <c r="U5" s="179"/>
      <c r="V5" s="179" t="s">
        <v>341</v>
      </c>
      <c r="AA5" t="s">
        <v>345</v>
      </c>
    </row>
    <row r="6" spans="1:30" ht="16.5" customHeight="1" x14ac:dyDescent="0.25">
      <c r="A6" s="362"/>
      <c r="B6" s="365" t="s">
        <v>368</v>
      </c>
      <c r="C6" s="737"/>
      <c r="D6" s="738"/>
      <c r="E6" s="738"/>
      <c r="F6" s="739"/>
      <c r="G6" s="362"/>
      <c r="H6" s="362"/>
      <c r="I6" s="362"/>
      <c r="J6" s="362"/>
      <c r="K6" s="366" t="s">
        <v>32</v>
      </c>
      <c r="L6" s="363"/>
      <c r="M6" s="716">
        <v>46042</v>
      </c>
      <c r="N6" s="717"/>
      <c r="O6" s="362"/>
      <c r="P6" s="362"/>
      <c r="R6" s="180">
        <f ca="1">TODAY()</f>
        <v>46059</v>
      </c>
      <c r="AA6" t="s">
        <v>346</v>
      </c>
    </row>
    <row r="7" spans="1:30" ht="13.5" customHeight="1" x14ac:dyDescent="0.25">
      <c r="A7" s="362"/>
      <c r="B7" s="362"/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</row>
    <row r="8" spans="1:30" ht="15" customHeight="1" x14ac:dyDescent="0.25">
      <c r="A8" s="362"/>
      <c r="B8" s="367" t="s">
        <v>367</v>
      </c>
      <c r="C8" s="616" t="s">
        <v>2</v>
      </c>
      <c r="D8" s="617" t="s">
        <v>454</v>
      </c>
      <c r="E8" s="617"/>
      <c r="F8" s="362"/>
      <c r="G8" s="362"/>
      <c r="H8" s="729" t="s">
        <v>378</v>
      </c>
      <c r="I8" s="730"/>
      <c r="J8" s="616" t="s">
        <v>455</v>
      </c>
      <c r="K8" s="618" t="s">
        <v>454</v>
      </c>
      <c r="L8" s="618"/>
      <c r="M8" s="362"/>
      <c r="N8" s="362"/>
      <c r="O8" s="362"/>
      <c r="P8" s="362"/>
    </row>
    <row r="9" spans="1:30" ht="15.75" customHeight="1" x14ac:dyDescent="0.25">
      <c r="A9" s="362"/>
      <c r="B9" s="362"/>
      <c r="C9" s="362"/>
      <c r="D9" s="362"/>
      <c r="E9" s="362"/>
      <c r="F9" s="362"/>
      <c r="G9" s="362"/>
      <c r="H9" s="730"/>
      <c r="I9" s="730"/>
      <c r="J9" s="362"/>
      <c r="K9" s="362"/>
      <c r="L9" s="362"/>
      <c r="M9" s="362"/>
      <c r="N9" s="362"/>
      <c r="O9" s="362"/>
      <c r="P9" s="362"/>
      <c r="R9" s="619" t="s">
        <v>2</v>
      </c>
      <c r="S9" s="619" t="s">
        <v>123</v>
      </c>
    </row>
    <row r="10" spans="1:30" ht="30" customHeight="1" thickBot="1" x14ac:dyDescent="0.4">
      <c r="A10" s="362"/>
      <c r="B10" s="364" t="str">
        <f>+AA5</f>
        <v>BayerValue™ East Rewards Program - Enter Purchases</v>
      </c>
      <c r="C10" s="362"/>
      <c r="D10" s="362"/>
      <c r="E10" s="362"/>
      <c r="F10" s="362"/>
      <c r="G10" s="362"/>
      <c r="H10" s="362"/>
      <c r="I10" s="362"/>
      <c r="J10" s="362"/>
      <c r="K10" s="362"/>
      <c r="L10" s="362"/>
      <c r="M10" s="362"/>
      <c r="N10" s="362"/>
      <c r="O10" s="362"/>
      <c r="P10" s="362"/>
      <c r="R10" s="619" t="s">
        <v>1</v>
      </c>
      <c r="S10" s="619" t="s">
        <v>455</v>
      </c>
    </row>
    <row r="11" spans="1:30" ht="15.75" customHeight="1" x14ac:dyDescent="0.25">
      <c r="A11" s="362"/>
      <c r="B11" s="725" t="s">
        <v>0</v>
      </c>
      <c r="C11" s="428" t="s">
        <v>28</v>
      </c>
      <c r="D11" s="740"/>
      <c r="E11" s="741"/>
      <c r="F11" s="727" t="s">
        <v>0</v>
      </c>
      <c r="G11" s="428" t="s">
        <v>28</v>
      </c>
      <c r="H11" s="740"/>
      <c r="I11" s="741"/>
      <c r="J11" s="719"/>
      <c r="K11" s="720"/>
      <c r="L11" s="720"/>
      <c r="M11" s="720"/>
      <c r="N11" s="720"/>
      <c r="O11" s="721"/>
      <c r="P11" s="362"/>
      <c r="S11" s="619"/>
    </row>
    <row r="12" spans="1:30" ht="32.25" customHeight="1" thickBot="1" x14ac:dyDescent="0.4">
      <c r="A12" s="362"/>
      <c r="B12" s="726"/>
      <c r="C12" s="429" t="str">
        <f>IF(Pkge!$B$3 = 1, "Units", "Acres")</f>
        <v>Acres</v>
      </c>
      <c r="D12" s="429" t="str">
        <f>IF(Pkge!$B$3 = 1, "Acres", "Units")</f>
        <v>Units</v>
      </c>
      <c r="E12" s="429" t="s">
        <v>427</v>
      </c>
      <c r="F12" s="728"/>
      <c r="G12" s="429" t="str">
        <f>IF(Pkge!$B$3 = 1, "Units", "Acres")</f>
        <v>Acres</v>
      </c>
      <c r="H12" s="429" t="str">
        <f>IF(Pkge!$B$3 = 1, "Acres", "Units")</f>
        <v>Units</v>
      </c>
      <c r="I12" s="429" t="s">
        <v>427</v>
      </c>
      <c r="J12" s="722"/>
      <c r="K12" s="723"/>
      <c r="L12" s="723"/>
      <c r="M12" s="723"/>
      <c r="N12" s="723"/>
      <c r="O12" s="724"/>
      <c r="P12" s="362"/>
      <c r="R12" s="179" t="s">
        <v>362</v>
      </c>
    </row>
    <row r="13" spans="1:30" ht="15.75" customHeight="1" x14ac:dyDescent="0.25">
      <c r="A13" s="753" t="s">
        <v>418</v>
      </c>
      <c r="B13" s="341" t="str">
        <f>+Pkge!B108</f>
        <v>BUCTRIL® M (8 L)</v>
      </c>
      <c r="C13" s="241"/>
      <c r="D13" s="189">
        <f>+Pkge!G108</f>
        <v>0</v>
      </c>
      <c r="E13" s="190">
        <f>IF(C13 &gt; 0, IF($O$49 &gt; 0,ROUND(+$O$49/E$49,2),0),0)</f>
        <v>0</v>
      </c>
      <c r="F13" s="341" t="str">
        <f>+Pkge!B138</f>
        <v>PROSARO® PRO (6.07 L)</v>
      </c>
      <c r="G13" s="188"/>
      <c r="H13" s="189">
        <f>+Pkge!G138</f>
        <v>0</v>
      </c>
      <c r="I13" s="190">
        <f>IF( G13&gt;0, IF($O$72 &gt; 0,ROUND(+$O$72/E$72,2),0),0)</f>
        <v>0</v>
      </c>
      <c r="J13" s="742" t="str">
        <f>+B78</f>
        <v>Total Trait Acres</v>
      </c>
      <c r="K13" s="743"/>
      <c r="L13" s="743"/>
      <c r="M13" s="743"/>
      <c r="N13" s="434">
        <f>+D78</f>
        <v>0</v>
      </c>
      <c r="O13" s="436"/>
      <c r="P13" s="362"/>
      <c r="R13" t="str">
        <f>+R12 &amp;V5</f>
        <v>2024 BayerValue™Rebate Calculator</v>
      </c>
    </row>
    <row r="14" spans="1:30" ht="15" customHeight="1" x14ac:dyDescent="0.25">
      <c r="A14" s="754"/>
      <c r="B14" s="341" t="str">
        <f>+Pkge!B109</f>
        <v>BUCTRIL® M (400 L)</v>
      </c>
      <c r="C14" s="188"/>
      <c r="D14" s="189">
        <f>+Pkge!G109</f>
        <v>0</v>
      </c>
      <c r="E14" s="190">
        <f>IF(C14 &gt; 0, IF($O$49 &gt; 0,ROUND(+$O$49/E$49,2),0),0)</f>
        <v>0</v>
      </c>
      <c r="F14" s="341" t="str">
        <f>Pkge!$B$139</f>
        <v>PROSARO® PRO (97.17 L)</v>
      </c>
      <c r="G14" s="188"/>
      <c r="H14" s="189">
        <f>+Pkge!G139</f>
        <v>0</v>
      </c>
      <c r="I14" s="190">
        <f>IF( G14&gt;0, IF($O$72 &gt; 0,ROUND(+$O$72/E$72,2),0),0)</f>
        <v>0</v>
      </c>
      <c r="J14" s="430"/>
      <c r="K14" s="431"/>
      <c r="L14" s="431"/>
      <c r="M14" s="431"/>
      <c r="N14" s="431"/>
      <c r="O14" s="436"/>
      <c r="P14" s="362"/>
      <c r="R14" t="s">
        <v>356</v>
      </c>
    </row>
    <row r="15" spans="1:30" ht="15.75" customHeight="1" x14ac:dyDescent="0.25">
      <c r="A15" s="754"/>
      <c r="B15" s="443" t="str">
        <f>+Pkge!B110</f>
        <v>CONVERGE® FLEXX (2.64 L)</v>
      </c>
      <c r="C15" s="188"/>
      <c r="D15" s="189">
        <f>+Pkge!G110</f>
        <v>0</v>
      </c>
      <c r="E15" s="190">
        <f>IF(C15 &gt; 0, IF($O$57 &gt; 0,ROUND(+$O$57/E$57,2),0), 0)</f>
        <v>0</v>
      </c>
      <c r="F15" s="341" t="str">
        <f>Pkge!$B$120</f>
        <v xml:space="preserve">PROSARO® XTR (6.5 L) </v>
      </c>
      <c r="G15" s="241"/>
      <c r="H15" s="189">
        <f>+Pkge!G120</f>
        <v>0</v>
      </c>
      <c r="I15" s="190">
        <f>IF(G15 &gt;0, IF($O$73 &gt; 0,ROUND(+$O$73/E$73,2),0),0)</f>
        <v>0</v>
      </c>
      <c r="J15" s="742" t="s">
        <v>423</v>
      </c>
      <c r="K15" s="743"/>
      <c r="L15" s="743"/>
      <c r="M15" s="743"/>
      <c r="N15" s="435">
        <f>+Pkge!AC144</f>
        <v>0</v>
      </c>
      <c r="O15" s="436"/>
      <c r="P15" s="362"/>
    </row>
    <row r="16" spans="1:30" ht="16.5" thickBot="1" x14ac:dyDescent="0.3">
      <c r="A16" s="754"/>
      <c r="B16" s="341" t="str">
        <f>+Pkge!B111</f>
        <v>CONVERGE® XT (2.64 L + 13.3 L)</v>
      </c>
      <c r="C16" s="188"/>
      <c r="D16" s="189">
        <f>+Pkge!G111</f>
        <v>0</v>
      </c>
      <c r="E16" s="190">
        <f>IF(C16&gt;0, IF($O$58 &gt; 0,ROUND(+$O$58/E$58,2),0),0)</f>
        <v>0</v>
      </c>
      <c r="F16" s="341" t="str">
        <f>Pkge!$B$121</f>
        <v>PROSARO® XTR (104 L)</v>
      </c>
      <c r="G16" s="188"/>
      <c r="H16" s="189">
        <f>+Pkge!G121</f>
        <v>0</v>
      </c>
      <c r="I16" s="190">
        <f>IF(G16 &gt;0, IF($O$73 &gt; 0,ROUND(+$O$73/E$73,2),0),0)</f>
        <v>0</v>
      </c>
      <c r="J16" s="432"/>
      <c r="K16" s="433"/>
      <c r="L16" s="433"/>
      <c r="M16" s="433"/>
      <c r="N16" s="433"/>
      <c r="O16" s="437"/>
      <c r="P16" s="362"/>
      <c r="R16" s="619" t="s">
        <v>363</v>
      </c>
      <c r="S16" s="619"/>
      <c r="T16" s="619"/>
      <c r="U16" s="620" t="b">
        <v>1</v>
      </c>
      <c r="W16" t="s">
        <v>365</v>
      </c>
      <c r="Y16" s="246">
        <v>499</v>
      </c>
    </row>
    <row r="17" spans="1:21" x14ac:dyDescent="0.25">
      <c r="A17" s="754"/>
      <c r="B17" s="341" t="str">
        <f>+Pkge!B154</f>
        <v>CONVINTRO® CORN 12 ( 3.55L + 10L)</v>
      </c>
      <c r="C17" s="188"/>
      <c r="D17" s="189">
        <f>+Pkge!G154</f>
        <v>0</v>
      </c>
      <c r="E17" s="190">
        <f>IF(C17 &gt; 0, IF($O$59 &gt; 0,ROUND(+$O$59/E$59,2),0),0)</f>
        <v>0</v>
      </c>
      <c r="F17" s="341" t="str">
        <f>Pkge!$B$122</f>
        <v>PUMA® ADVANCE (8.25 L)</v>
      </c>
      <c r="G17" s="188"/>
      <c r="H17" s="189">
        <f>+Pkge!G122</f>
        <v>0</v>
      </c>
      <c r="I17" s="190">
        <f>IF($O$53 &gt; 0,ROUND(+$O$53/E$53,2),0)</f>
        <v>0</v>
      </c>
      <c r="J17" s="362"/>
      <c r="K17" s="362"/>
      <c r="L17" s="362"/>
      <c r="M17" s="362"/>
      <c r="N17" s="362"/>
      <c r="O17" s="362"/>
      <c r="P17" s="362"/>
      <c r="R17" s="619" t="s">
        <v>364</v>
      </c>
      <c r="S17" s="619"/>
      <c r="T17" s="619"/>
      <c r="U17" s="620" t="b">
        <v>0</v>
      </c>
    </row>
    <row r="18" spans="1:21" x14ac:dyDescent="0.25">
      <c r="A18" s="754"/>
      <c r="B18" s="341" t="str">
        <f>+Pkge!B143</f>
        <v>CORVUS® (4 L)</v>
      </c>
      <c r="C18" s="188"/>
      <c r="D18" s="189">
        <f>+Pkge!G143</f>
        <v>0</v>
      </c>
      <c r="E18" s="190">
        <f>IF(C18&gt; 0, IF($O$60 &gt; 0,ROUND(+$O$60/E$60,2),0),0)</f>
        <v>0</v>
      </c>
      <c r="F18" s="341" t="str">
        <f>+Pkge!AB123</f>
        <v>ROUNDUP XTEND® (10 L)</v>
      </c>
      <c r="G18" s="188"/>
      <c r="H18" s="189">
        <f>+Pkge!G123</f>
        <v>0</v>
      </c>
      <c r="I18" s="190">
        <f>IF(G18 &gt;0, IF($O$63 &gt; 0,ROUND(+$O$63/$E$63,2),0),0)</f>
        <v>0</v>
      </c>
      <c r="J18" s="362"/>
      <c r="K18" s="362"/>
      <c r="L18" s="362"/>
      <c r="M18" s="362"/>
      <c r="N18" s="362"/>
      <c r="O18" s="362"/>
      <c r="P18" s="362"/>
      <c r="U18" s="285"/>
    </row>
    <row r="19" spans="1:21" x14ac:dyDescent="0.25">
      <c r="A19" s="754"/>
      <c r="B19" s="341" t="str">
        <f>+Pkge!B112</f>
        <v>DELARO®  COMPLETE (7.11 L)</v>
      </c>
      <c r="C19" s="188"/>
      <c r="D19" s="189">
        <f>+Pkge!G112</f>
        <v>0</v>
      </c>
      <c r="E19" s="190">
        <f>IF(C19 &gt;0, IF($O$69 &gt; 0,ROUND(+$O$69/E$69,2),0),0)</f>
        <v>0</v>
      </c>
      <c r="F19" s="341" t="str">
        <f>+Pkge!AB124</f>
        <v>ROUNDUP XTEND® (450 L)</v>
      </c>
      <c r="G19" s="188"/>
      <c r="H19" s="189">
        <f>+Pkge!G124</f>
        <v>0</v>
      </c>
      <c r="I19" s="190">
        <f>IF(G19 &gt;0, IF($O$63 &gt; 0,ROUND(+$O$63/$E$63,2),0),0)</f>
        <v>0</v>
      </c>
      <c r="J19" s="362"/>
      <c r="K19" s="362"/>
      <c r="L19" s="362"/>
      <c r="M19" s="362"/>
      <c r="N19" s="362"/>
      <c r="O19" s="362"/>
      <c r="P19" s="362"/>
    </row>
    <row r="20" spans="1:21" ht="15" customHeight="1" x14ac:dyDescent="0.25">
      <c r="A20" s="754"/>
      <c r="B20" s="341" t="str">
        <f>+Pkge!B144</f>
        <v>DELARO®  COMPLETE (113.8 L)</v>
      </c>
      <c r="C20" s="188"/>
      <c r="D20" s="189">
        <f>+Pkge!G144</f>
        <v>0</v>
      </c>
      <c r="E20" s="190">
        <f>IF(C20 &gt;0, IF($O$69 &gt; 0,ROUND(+$O$69/E$69,2),0),0)</f>
        <v>0</v>
      </c>
      <c r="F20" s="341" t="str">
        <f>+Pkge!AB125</f>
        <v>ROUNDUP XTEND® 2 (10 L)</v>
      </c>
      <c r="G20" s="188"/>
      <c r="H20" s="189">
        <f>+Pkge!G125</f>
        <v>0</v>
      </c>
      <c r="I20" s="190">
        <f>IF(G20&gt;0, IF($O$63 &gt; 0,ROUND(+$O$63/$E$63,2),0),0)</f>
        <v>0</v>
      </c>
      <c r="J20" s="362"/>
      <c r="K20" s="362"/>
      <c r="L20" s="362"/>
      <c r="M20" s="362"/>
      <c r="N20" s="362"/>
      <c r="O20" s="362"/>
      <c r="P20" s="362"/>
    </row>
    <row r="21" spans="1:21" ht="15.75" customHeight="1" x14ac:dyDescent="0.25">
      <c r="A21" s="754"/>
      <c r="B21" s="341" t="str">
        <f>+Pkge!B160</f>
        <v>DELARO®  COMPLETE (426.6 L)</v>
      </c>
      <c r="C21" s="188"/>
      <c r="D21" s="189">
        <f>+Pkge!G160</f>
        <v>0</v>
      </c>
      <c r="E21" s="190">
        <f>IF(C21 &gt;0, IF($O$69 &gt; 0,ROUND(+$O$69/E$69,2),0),0)</f>
        <v>0</v>
      </c>
      <c r="F21" s="341" t="str">
        <f>+Pkge!AB126</f>
        <v>ROUNDUP XTEND® 2 (450 L)</v>
      </c>
      <c r="G21" s="188"/>
      <c r="H21" s="189">
        <f>+Pkge!G126</f>
        <v>0</v>
      </c>
      <c r="I21" s="190">
        <f>IF(G21&gt;0, IF($O$63 &gt; 0,ROUND(+$O$63/$E$63,2),0),0)</f>
        <v>0</v>
      </c>
      <c r="J21" s="362"/>
      <c r="K21" s="362"/>
      <c r="L21" s="362"/>
      <c r="M21" s="362"/>
      <c r="N21" s="362"/>
      <c r="O21" s="362"/>
      <c r="P21" s="362"/>
    </row>
    <row r="22" spans="1:21" ht="15.75" customHeight="1" x14ac:dyDescent="0.25">
      <c r="A22" s="754"/>
      <c r="B22" s="341" t="str">
        <f>+Pkge!B155</f>
        <v>HUSKIE® PRE ( 8.1 L)</v>
      </c>
      <c r="C22" s="188"/>
      <c r="D22" s="189">
        <f>+Pkge!G155</f>
        <v>0</v>
      </c>
      <c r="E22" s="190">
        <f>IF(C22 &gt;0, IF($O$50 &gt; 0,ROUND(+$O$50/E$50,2),0),0)</f>
        <v>0</v>
      </c>
      <c r="F22" s="341" t="str">
        <f>Pkge!$B$127</f>
        <v>STRATEGO® PRO (7.1 L)</v>
      </c>
      <c r="G22" s="188"/>
      <c r="H22" s="189">
        <f>+Pkge!G127</f>
        <v>0</v>
      </c>
      <c r="I22" s="190">
        <f>IF(G22&gt;0, IF($O$74 &gt; 0,ROUND(+$O$74/$E$74,2),0),0)</f>
        <v>0</v>
      </c>
      <c r="J22" s="362"/>
      <c r="K22" s="362"/>
      <c r="L22" s="362"/>
      <c r="M22" s="362"/>
      <c r="N22" s="362"/>
      <c r="O22" s="362"/>
      <c r="P22" s="362"/>
    </row>
    <row r="23" spans="1:21" ht="15.75" customHeight="1" x14ac:dyDescent="0.25">
      <c r="A23" s="754"/>
      <c r="B23" s="443" t="str">
        <f>+Pkge!B115</f>
        <v>INFINITY® (6.7 L)</v>
      </c>
      <c r="C23" s="188"/>
      <c r="D23" s="189">
        <f>+Pkge!G115</f>
        <v>0</v>
      </c>
      <c r="E23" s="190">
        <f>IF( C23 &gt;0, IF($O$52 &gt; 0,ROUND(+$O$52/E$52,2),0),0)</f>
        <v>0</v>
      </c>
      <c r="F23" s="341" t="str">
        <f>+Pkge!B128</f>
        <v>STRATEGO® PRO (113.6 L)</v>
      </c>
      <c r="G23" s="188"/>
      <c r="H23" s="189">
        <f>+Pkge!G128</f>
        <v>0</v>
      </c>
      <c r="I23" s="190">
        <f>IF(G23&gt;0, IF($O$74 &gt; 0,ROUND(+$O$74/$E$74,2),0),0)</f>
        <v>0</v>
      </c>
      <c r="J23" s="362"/>
      <c r="K23" s="362"/>
      <c r="L23" s="362"/>
      <c r="M23" s="362"/>
      <c r="N23" s="362"/>
      <c r="O23" s="362"/>
      <c r="P23" s="362"/>
    </row>
    <row r="24" spans="1:21" x14ac:dyDescent="0.25">
      <c r="A24" s="754"/>
      <c r="B24" s="443" t="str">
        <f>+Pkge!B116</f>
        <v>INFINITY® (335 L)</v>
      </c>
      <c r="C24" s="188"/>
      <c r="D24" s="189">
        <f>+Pkge!G116</f>
        <v>0</v>
      </c>
      <c r="E24" s="190">
        <f>IF( C24 &gt;0, IF($O$52 &gt; 0,ROUND(+$O$52/E$52,2),0),0)</f>
        <v>0</v>
      </c>
      <c r="F24" s="341" t="str">
        <f>Pkge!$B$129</f>
        <v>VARRO® (8 L)</v>
      </c>
      <c r="G24" s="188"/>
      <c r="H24" s="189">
        <f>+Pkge!G129</f>
        <v>0</v>
      </c>
      <c r="I24" s="190">
        <f>IF($O$54 &gt; 0,ROUND(+$O$54/$E$54,2),0)</f>
        <v>0</v>
      </c>
      <c r="J24" s="362"/>
      <c r="K24" s="362"/>
      <c r="L24" s="362"/>
      <c r="M24" s="362"/>
      <c r="N24" s="362"/>
      <c r="O24" s="362"/>
      <c r="P24" s="362"/>
    </row>
    <row r="25" spans="1:21" ht="15.75" customHeight="1" x14ac:dyDescent="0.25">
      <c r="A25" s="754"/>
      <c r="B25" s="341" t="str">
        <f>+Pkge!B113</f>
        <v>INFINITY® FX (8.1 L)</v>
      </c>
      <c r="C25" s="188"/>
      <c r="D25" s="189">
        <f>+Pkge!G113</f>
        <v>0</v>
      </c>
      <c r="E25" s="190">
        <f>IF( C25&gt;0, IF($O$51 &gt; 0,ROUND(+$O$51/E$51,2),0),0)</f>
        <v>0</v>
      </c>
      <c r="F25" s="341" t="str">
        <f>Pkge!$B$158</f>
        <v>VELOCITY M3® ( 8.1 L)</v>
      </c>
      <c r="G25" s="188"/>
      <c r="H25" s="189">
        <f>+Pkge!G158</f>
        <v>0</v>
      </c>
      <c r="I25" s="190">
        <f>IF(G25 &gt;0, IF($O$55 &gt; 0,ROUND(+$O$55/$E$55,2),0),0)</f>
        <v>0</v>
      </c>
      <c r="J25" s="362"/>
      <c r="K25" s="362"/>
      <c r="L25" s="362"/>
      <c r="M25" s="362"/>
      <c r="N25" s="362"/>
      <c r="O25" s="362"/>
      <c r="P25" s="362"/>
    </row>
    <row r="26" spans="1:21" ht="15.75" customHeight="1" x14ac:dyDescent="0.25">
      <c r="A26" s="754"/>
      <c r="B26" s="341" t="str">
        <f>+Pkge!B114</f>
        <v>INFINITY® FX (405 L)</v>
      </c>
      <c r="C26" s="188"/>
      <c r="D26" s="189">
        <f>+Pkge!G114</f>
        <v>0</v>
      </c>
      <c r="E26" s="190">
        <f>IF( C26&gt;0, IF($O$51 &gt; 0,ROUND(+$O$51/E$51,2),0),0)</f>
        <v>0</v>
      </c>
      <c r="F26" s="443" t="str">
        <f>Pkge!$B$130</f>
        <v>VIOS® G3 (1.78 L)</v>
      </c>
      <c r="G26" s="188"/>
      <c r="H26" s="189">
        <f>+Pkge!G130</f>
        <v>0</v>
      </c>
      <c r="I26" s="190">
        <f>IF($O$65 &gt; 0,ROUND(+$O$65/$E$65,2),0)</f>
        <v>0</v>
      </c>
      <c r="J26" s="362"/>
      <c r="K26" s="362"/>
      <c r="L26" s="362"/>
      <c r="M26" s="362"/>
      <c r="N26" s="362"/>
      <c r="O26" s="362"/>
      <c r="P26" s="362"/>
    </row>
    <row r="27" spans="1:21" ht="15.75" customHeight="1" x14ac:dyDescent="0.25">
      <c r="A27" s="754"/>
      <c r="B27" s="341" t="str">
        <f>Pkge!$B$137</f>
        <v>LAUDIS® (3.6 L)</v>
      </c>
      <c r="C27" s="188"/>
      <c r="D27" s="189">
        <f>+Pkge!G137</f>
        <v>0</v>
      </c>
      <c r="E27" s="190">
        <f>IF($O$61 &gt; 0,ROUND(+$O$61/E$61,2),0)</f>
        <v>0</v>
      </c>
      <c r="F27" s="341" t="str">
        <f>+Pkge!AB131</f>
        <v>XTENDIMAX® (10 L)</v>
      </c>
      <c r="G27" s="188"/>
      <c r="H27" s="189">
        <f>+Pkge!G131</f>
        <v>0</v>
      </c>
      <c r="I27" s="190">
        <f>IF(G27 &gt;0, IF($O$66 &gt; 0,ROUND(+$O$66/$E$66,2),0),0)</f>
        <v>0</v>
      </c>
      <c r="J27" s="362"/>
      <c r="K27" s="362"/>
      <c r="L27" s="362"/>
      <c r="M27" s="362"/>
      <c r="N27" s="362"/>
      <c r="O27" s="362"/>
      <c r="P27" s="362"/>
    </row>
    <row r="28" spans="1:21" ht="15.75" customHeight="1" x14ac:dyDescent="0.25">
      <c r="A28" s="754"/>
      <c r="B28" s="341" t="str">
        <f>Pkge!$B$117</f>
        <v>OPTION® LIQUID (6.3 L)</v>
      </c>
      <c r="C28" s="188"/>
      <c r="D28" s="189">
        <f>+Pkge!G117</f>
        <v>0</v>
      </c>
      <c r="E28" s="190">
        <f>IF($O$62 &gt; 0,ROUND(+$O$62/E$62,2),0)</f>
        <v>0</v>
      </c>
      <c r="F28" s="341" t="str">
        <f>+Pkge!AB132</f>
        <v>XTENDIMAX® (450 L)</v>
      </c>
      <c r="G28" s="188"/>
      <c r="H28" s="189">
        <f>+Pkge!G132</f>
        <v>0</v>
      </c>
      <c r="I28" s="190">
        <f>IF(G28 &gt;0, IF($O$66 &gt; 0,ROUND(+$O$66/$E$66,2),0),0)</f>
        <v>0</v>
      </c>
      <c r="J28" s="362"/>
      <c r="K28" s="362"/>
      <c r="L28" s="362"/>
      <c r="M28" s="362"/>
      <c r="N28" s="362"/>
      <c r="O28" s="362"/>
      <c r="P28" s="362"/>
    </row>
    <row r="29" spans="1:21" ht="15.75" customHeight="1" thickBot="1" x14ac:dyDescent="0.3">
      <c r="A29" s="754"/>
      <c r="B29" s="341" t="str">
        <f>Pkge!$B$118</f>
        <v>PROLINE® (5.1 L)</v>
      </c>
      <c r="C29" s="188"/>
      <c r="D29" s="189">
        <f>+Pkge!G118</f>
        <v>0</v>
      </c>
      <c r="E29" s="190">
        <f>IF($O$70 &gt; 0,ROUND(+$O$70/E$70,2),0)</f>
        <v>0</v>
      </c>
      <c r="F29" s="341" t="str">
        <f>+Pkge!AB133</f>
        <v>XTENDIMAX® 2 (10 L)</v>
      </c>
      <c r="G29" s="188"/>
      <c r="H29" s="189">
        <f>+Pkge!G133</f>
        <v>0</v>
      </c>
      <c r="I29" s="361">
        <f>IF(G29 &gt;0, IF($O$66 &gt; 0,ROUND(+$O$66/$E$66,2),0),0)</f>
        <v>0</v>
      </c>
      <c r="J29" s="362"/>
      <c r="K29" s="362"/>
      <c r="L29" s="362"/>
      <c r="M29" s="362"/>
      <c r="N29" s="362"/>
      <c r="O29" s="362"/>
      <c r="P29" s="362"/>
    </row>
    <row r="30" spans="1:21" ht="15.75" customHeight="1" x14ac:dyDescent="0.25">
      <c r="A30" s="754"/>
      <c r="B30" s="341" t="str">
        <f>Pkge!$B$119</f>
        <v>PROPULSE® (6.1 L)</v>
      </c>
      <c r="C30" s="188"/>
      <c r="D30" s="189">
        <f>+Pkge!G119</f>
        <v>0</v>
      </c>
      <c r="E30" s="190">
        <f>IF($O$71 &gt; 0,ROUND(+$O$71/E$71,2),0)</f>
        <v>0</v>
      </c>
      <c r="F30" s="341" t="str">
        <f>+Pkge!AB145</f>
        <v>XTENDIMAX® 2 (122.38 L)</v>
      </c>
      <c r="G30" s="188"/>
      <c r="H30" s="189">
        <f>+Pkge!G145</f>
        <v>0</v>
      </c>
      <c r="I30" s="361">
        <f t="shared" ref="I30:I31" si="0">IF(G30 &gt;0, IF($O$66 &gt; 0,ROUND(+$O$66/$E$66,2),0),0)</f>
        <v>0</v>
      </c>
      <c r="J30" s="731" t="str">
        <f>+G93</f>
        <v>Trait Matched Acres and Unmatched Acres Rebate</v>
      </c>
      <c r="K30" s="732"/>
      <c r="L30" s="732"/>
      <c r="M30" s="733"/>
      <c r="N30" s="639">
        <f>+M93</f>
        <v>0</v>
      </c>
      <c r="O30" s="362"/>
      <c r="P30" s="362"/>
    </row>
    <row r="31" spans="1:21" ht="15.75" customHeight="1" thickBot="1" x14ac:dyDescent="0.3">
      <c r="A31" s="362"/>
      <c r="B31" s="245"/>
      <c r="C31" s="245"/>
      <c r="D31" s="245"/>
      <c r="E31" s="245"/>
      <c r="F31" s="551" t="str">
        <f>+Pkge!AB134</f>
        <v>XTENDIMAX® 2 (450 L)</v>
      </c>
      <c r="G31" s="188"/>
      <c r="H31" s="189">
        <f>+Pkge!G134</f>
        <v>0</v>
      </c>
      <c r="I31" s="361">
        <f t="shared" si="0"/>
        <v>0</v>
      </c>
      <c r="J31" s="734"/>
      <c r="K31" s="735"/>
      <c r="L31" s="735"/>
      <c r="M31" s="736"/>
      <c r="N31" s="640"/>
      <c r="O31" s="362"/>
      <c r="P31" s="362"/>
    </row>
    <row r="32" spans="1:21" ht="15.75" customHeight="1" x14ac:dyDescent="0.25">
      <c r="A32" s="362"/>
      <c r="B32" s="245"/>
      <c r="C32" s="245"/>
      <c r="D32" s="245"/>
      <c r="E32" s="245"/>
      <c r="F32" s="570"/>
      <c r="G32" s="570"/>
      <c r="H32" s="570"/>
      <c r="I32" s="570"/>
      <c r="J32" s="665" t="str">
        <f>+LEFT(G95,25)</f>
        <v>FieldView™ Rewards Rebate</v>
      </c>
      <c r="K32" s="666"/>
      <c r="L32" s="666"/>
      <c r="M32" s="667"/>
      <c r="N32" s="639">
        <f>+M95</f>
        <v>0</v>
      </c>
      <c r="O32" s="362"/>
      <c r="P32" s="362"/>
    </row>
    <row r="33" spans="1:16" ht="19.5" customHeight="1" thickBot="1" x14ac:dyDescent="0.3">
      <c r="A33" s="362"/>
      <c r="B33" s="245"/>
      <c r="C33" s="245"/>
      <c r="D33" s="245"/>
      <c r="E33" s="245"/>
      <c r="F33" s="552" t="s">
        <v>430</v>
      </c>
      <c r="G33" s="553"/>
      <c r="H33" s="553"/>
      <c r="I33" s="245"/>
      <c r="J33" s="668"/>
      <c r="K33" s="669"/>
      <c r="L33" s="669"/>
      <c r="M33" s="670"/>
      <c r="N33" s="640"/>
      <c r="O33" s="362"/>
      <c r="P33" s="362"/>
    </row>
    <row r="34" spans="1:16" ht="15.75" customHeight="1" thickBot="1" x14ac:dyDescent="0.3">
      <c r="A34" s="362"/>
      <c r="B34" s="245"/>
      <c r="C34" s="245"/>
      <c r="D34" s="245"/>
      <c r="E34" s="245"/>
      <c r="F34" s="245"/>
      <c r="G34" s="785">
        <f>+Pkge!I210</f>
        <v>0</v>
      </c>
      <c r="H34" s="786"/>
      <c r="I34" s="245"/>
      <c r="J34" s="789" t="str">
        <f>+R14</f>
        <v>Total BayerValue™ Rebate</v>
      </c>
      <c r="K34" s="790"/>
      <c r="L34" s="790"/>
      <c r="M34" s="791"/>
      <c r="N34" s="697">
        <f>+M96</f>
        <v>0</v>
      </c>
      <c r="O34" s="362"/>
      <c r="P34" s="362"/>
    </row>
    <row r="35" spans="1:16" ht="15.75" customHeight="1" thickBot="1" x14ac:dyDescent="0.3">
      <c r="A35" s="362"/>
      <c r="B35" s="245"/>
      <c r="C35" s="245"/>
      <c r="D35" s="245"/>
      <c r="E35" s="245"/>
      <c r="F35" s="245"/>
      <c r="G35" s="245"/>
      <c r="H35" s="245"/>
      <c r="I35" s="245"/>
      <c r="J35" s="792"/>
      <c r="K35" s="793"/>
      <c r="L35" s="793"/>
      <c r="M35" s="794"/>
      <c r="N35" s="698"/>
      <c r="O35" s="362"/>
      <c r="P35" s="362"/>
    </row>
    <row r="36" spans="1:16" ht="9.75" customHeight="1" x14ac:dyDescent="0.25">
      <c r="A36" s="362"/>
      <c r="B36" s="245"/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362"/>
      <c r="P36" s="362"/>
    </row>
    <row r="37" spans="1:16" ht="42.75" customHeight="1" x14ac:dyDescent="0.3">
      <c r="A37" s="362"/>
      <c r="B37" s="671" t="s">
        <v>301</v>
      </c>
      <c r="C37" s="672"/>
      <c r="D37" s="673"/>
      <c r="E37" s="362"/>
      <c r="F37" s="362"/>
      <c r="G37" s="362"/>
      <c r="H37" s="362"/>
      <c r="I37" s="362"/>
      <c r="J37" s="362"/>
      <c r="K37" s="362"/>
      <c r="L37" s="362"/>
      <c r="M37" s="362"/>
      <c r="N37" s="362"/>
      <c r="O37" s="362"/>
      <c r="P37" s="362"/>
    </row>
    <row r="38" spans="1:16" ht="15.75" x14ac:dyDescent="0.25">
      <c r="A38" s="362"/>
      <c r="B38" s="426"/>
      <c r="C38" s="622" t="str">
        <f>IF(Pkge!$B$3 = 1, "Units", "Acres")</f>
        <v>Acres</v>
      </c>
      <c r="D38" s="622" t="str">
        <f>IF(Pkge!$B$3 = 1, "Acres", "Units")</f>
        <v>Units</v>
      </c>
      <c r="E38" s="362"/>
      <c r="F38" s="362"/>
      <c r="G38" s="362"/>
      <c r="H38" s="362"/>
      <c r="I38" s="362"/>
      <c r="J38" s="362"/>
      <c r="K38" s="362"/>
      <c r="L38" s="362"/>
      <c r="M38" s="362"/>
      <c r="N38" s="362"/>
      <c r="O38" s="362"/>
      <c r="P38" s="362"/>
    </row>
    <row r="39" spans="1:16" x14ac:dyDescent="0.25">
      <c r="A39" s="362"/>
      <c r="B39" s="401" t="str">
        <f>+Pkge!B135</f>
        <v>Corn Trait (80,000 kernels)</v>
      </c>
      <c r="C39" s="188"/>
      <c r="D39" s="368">
        <f>+Pkge!G135</f>
        <v>0</v>
      </c>
      <c r="E39" s="362"/>
      <c r="F39" s="362"/>
      <c r="G39" s="362"/>
      <c r="H39" s="362"/>
      <c r="I39" s="362"/>
      <c r="J39" s="362"/>
      <c r="K39" s="362"/>
      <c r="L39" s="362"/>
      <c r="M39" s="362"/>
      <c r="N39" s="362"/>
      <c r="O39" s="362"/>
      <c r="P39" s="362"/>
    </row>
    <row r="40" spans="1:16" ht="15.75" customHeight="1" x14ac:dyDescent="0.25">
      <c r="A40" s="362"/>
      <c r="B40" s="401" t="str">
        <f>+Pkge!B136</f>
        <v>Soybean Trait (140,000 seeds)</v>
      </c>
      <c r="C40" s="188"/>
      <c r="D40" s="368">
        <f>+Pkge!G136</f>
        <v>0</v>
      </c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</row>
    <row r="41" spans="1:16" ht="21.75" customHeight="1" x14ac:dyDescent="0.25">
      <c r="A41" s="362"/>
      <c r="B41" s="395"/>
      <c r="C41" s="362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62"/>
      <c r="O41" s="362"/>
      <c r="P41" s="362"/>
    </row>
    <row r="42" spans="1:16" ht="27" hidden="1" customHeight="1" x14ac:dyDescent="0.25">
      <c r="A42" s="362"/>
      <c r="B42" s="396" t="s">
        <v>326</v>
      </c>
      <c r="C42" s="362"/>
      <c r="D42" s="395"/>
      <c r="E42" s="362"/>
      <c r="F42" s="362"/>
      <c r="G42" s="362"/>
      <c r="H42" s="362"/>
      <c r="I42" s="362"/>
      <c r="J42" s="362"/>
      <c r="K42" s="362"/>
      <c r="L42" s="362"/>
      <c r="M42" s="362"/>
      <c r="N42" s="362"/>
      <c r="O42" s="362"/>
      <c r="P42" s="362"/>
    </row>
    <row r="43" spans="1:16" ht="32.25" hidden="1" customHeight="1" x14ac:dyDescent="0.25">
      <c r="A43" s="362"/>
      <c r="B43" s="249"/>
      <c r="C43" s="249"/>
      <c r="D43" s="249"/>
      <c r="E43" s="787" t="str">
        <f>+AA6</f>
        <v>BayerValue™ East Rewards</v>
      </c>
      <c r="F43" s="788"/>
      <c r="G43" s="788"/>
      <c r="H43" s="788"/>
      <c r="I43" s="788"/>
      <c r="J43" s="788"/>
      <c r="K43" s="788"/>
      <c r="L43" s="249"/>
      <c r="M43" s="249"/>
      <c r="N43" s="249"/>
      <c r="O43" s="249"/>
      <c r="P43" s="362"/>
    </row>
    <row r="44" spans="1:16" ht="22.5" hidden="1" customHeight="1" thickBot="1" x14ac:dyDescent="0.3">
      <c r="A44" s="362"/>
      <c r="B44" s="251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362"/>
    </row>
    <row r="45" spans="1:16" ht="15.75" hidden="1" customHeight="1" x14ac:dyDescent="0.25">
      <c r="A45" s="362"/>
      <c r="B45" s="795" t="s">
        <v>325</v>
      </c>
      <c r="C45" s="796"/>
      <c r="D45" s="796"/>
      <c r="E45" s="796"/>
      <c r="F45" s="773"/>
      <c r="G45" s="393"/>
      <c r="H45" s="393"/>
      <c r="I45" s="393"/>
      <c r="J45" s="772" t="s">
        <v>322</v>
      </c>
      <c r="K45" s="773"/>
      <c r="L45" s="773"/>
      <c r="M45" s="773"/>
      <c r="N45" s="773"/>
      <c r="O45" s="774"/>
      <c r="P45" s="362"/>
    </row>
    <row r="46" spans="1:16" ht="15.75" hidden="1" customHeight="1" thickBot="1" x14ac:dyDescent="0.3">
      <c r="A46" s="362"/>
      <c r="B46" s="797"/>
      <c r="C46" s="798"/>
      <c r="D46" s="798"/>
      <c r="E46" s="798"/>
      <c r="F46" s="775"/>
      <c r="G46" s="394"/>
      <c r="H46" s="394"/>
      <c r="I46" s="394"/>
      <c r="J46" s="775"/>
      <c r="K46" s="775"/>
      <c r="L46" s="775"/>
      <c r="M46" s="775"/>
      <c r="N46" s="775"/>
      <c r="O46" s="776"/>
      <c r="P46" s="362"/>
    </row>
    <row r="47" spans="1:16" ht="73.5" hidden="1" customHeight="1" thickBot="1" x14ac:dyDescent="0.3">
      <c r="A47" s="362"/>
      <c r="B47" s="427" t="s">
        <v>352</v>
      </c>
      <c r="C47" s="676" t="s">
        <v>0</v>
      </c>
      <c r="D47" s="678"/>
      <c r="E47" s="370" t="s">
        <v>370</v>
      </c>
      <c r="F47" s="369" t="s">
        <v>321</v>
      </c>
      <c r="G47" s="676" t="s">
        <v>320</v>
      </c>
      <c r="H47" s="678"/>
      <c r="I47" s="371" t="s">
        <v>410</v>
      </c>
      <c r="J47" s="694" t="s">
        <v>404</v>
      </c>
      <c r="K47" s="695"/>
      <c r="L47" s="694" t="s">
        <v>406</v>
      </c>
      <c r="M47" s="695"/>
      <c r="N47" s="273" t="s">
        <v>407</v>
      </c>
      <c r="O47" s="372" t="s">
        <v>306</v>
      </c>
      <c r="P47" s="362"/>
    </row>
    <row r="48" spans="1:16" ht="6" hidden="1" customHeight="1" thickBot="1" x14ac:dyDescent="0.3">
      <c r="A48" s="362"/>
      <c r="B48" s="251"/>
      <c r="C48" s="251"/>
      <c r="D48" s="251"/>
      <c r="E48" s="251"/>
      <c r="F48" s="251"/>
      <c r="G48" s="251"/>
      <c r="H48" s="251"/>
      <c r="I48" s="250"/>
      <c r="J48" s="250"/>
      <c r="K48" s="250"/>
      <c r="L48" s="250"/>
      <c r="M48" s="250"/>
      <c r="N48" s="250"/>
      <c r="O48" s="250"/>
      <c r="P48" s="362"/>
    </row>
    <row r="49" spans="1:16" ht="15.75" hidden="1" customHeight="1" x14ac:dyDescent="0.25">
      <c r="A49" s="753" t="s">
        <v>418</v>
      </c>
      <c r="B49" s="479" t="s">
        <v>369</v>
      </c>
      <c r="C49" s="484" t="str">
        <f>+Pkge!A109</f>
        <v xml:space="preserve">BUCTRIL M </v>
      </c>
      <c r="D49" s="485"/>
      <c r="E49" s="486">
        <f>+Pkge!L109</f>
        <v>0</v>
      </c>
      <c r="F49" s="487">
        <f>IF((D$78*1) &gt;=100, IF( +Pkge!M109&gt;=1000,  IF(E49 &gt;=(D$78), (D$78), E49),0),0)</f>
        <v>0</v>
      </c>
      <c r="G49" s="692">
        <v>1</v>
      </c>
      <c r="H49" s="693"/>
      <c r="I49" s="488">
        <f>+F49*G49</f>
        <v>0</v>
      </c>
      <c r="J49" s="711">
        <f>IF(+Pkge!I$210&gt;=5000,IF(Pkge!$M109&gt;=1000,IF(+Pkge!AC$144&gt;=2,IF(E49&gt;F49,E49-F49,F49-E49),0),0),0)</f>
        <v>0</v>
      </c>
      <c r="K49" s="712"/>
      <c r="L49" s="692">
        <v>0.5</v>
      </c>
      <c r="M49" s="693"/>
      <c r="N49" s="488">
        <f>+J49*L49</f>
        <v>0</v>
      </c>
      <c r="O49" s="489">
        <f>+I49+N49</f>
        <v>0</v>
      </c>
      <c r="P49" s="362"/>
    </row>
    <row r="50" spans="1:16" ht="15.75" hidden="1" customHeight="1" thickBot="1" x14ac:dyDescent="0.3">
      <c r="A50" s="753"/>
      <c r="B50" s="482"/>
      <c r="C50" s="490" t="str">
        <f>+Pkge!A155</f>
        <v>HUSKIE® PRE</v>
      </c>
      <c r="D50" s="480"/>
      <c r="E50" s="476">
        <f>+Pkge!L157</f>
        <v>0</v>
      </c>
      <c r="F50" s="470">
        <f>IF((D$78*1) &gt;=100, IF( +Pkge!M157&gt;=1000,  IF(E50 &gt;=(D$78), (D$78), E50),0),0)</f>
        <v>0</v>
      </c>
      <c r="G50" s="779">
        <v>1</v>
      </c>
      <c r="H50" s="780"/>
      <c r="I50" s="477">
        <f>+F50*G50</f>
        <v>0</v>
      </c>
      <c r="J50" s="781">
        <f>IF(+Pkge!I$210&gt;=5000,IF(Pkge!$M157&gt;=1000,IF(+Pkge!AC$144&gt;=2,IF(E50&gt;F50,E50-F50,F50-E50),0),0),0)</f>
        <v>0</v>
      </c>
      <c r="K50" s="782"/>
      <c r="L50" s="783">
        <v>0.5</v>
      </c>
      <c r="M50" s="784"/>
      <c r="N50" s="478">
        <f>+J50*L50</f>
        <v>0</v>
      </c>
      <c r="O50" s="481">
        <f>+I50+N50</f>
        <v>0</v>
      </c>
      <c r="P50" s="362"/>
    </row>
    <row r="51" spans="1:16" ht="15.75" hidden="1" customHeight="1" thickBot="1" x14ac:dyDescent="0.3">
      <c r="A51" s="754"/>
      <c r="B51" s="272"/>
      <c r="C51" s="491" t="str">
        <f>+Pkge!A113</f>
        <v>INFINITY FX</v>
      </c>
      <c r="D51" s="252"/>
      <c r="E51" s="417">
        <f>+Pkge!L114</f>
        <v>0</v>
      </c>
      <c r="F51" s="419">
        <f>IF((D$78*1) &gt;=100, IF( +Pkge!M114&gt;=1000,  IF(E51 &gt;=(D$78), (D$78), E51),0),0)</f>
        <v>0</v>
      </c>
      <c r="G51" s="746">
        <v>2</v>
      </c>
      <c r="H51" s="658"/>
      <c r="I51" s="397">
        <f t="shared" ref="I51:I54" si="1">+F51*G51</f>
        <v>0</v>
      </c>
      <c r="J51" s="707">
        <f>IF(+Pkge!I$210&gt;=5000,IF(Pkge!$M114&gt;=1000,IF(+Pkge!AC$144&gt;=2,IF(E51&gt;F51,E51-F51,F51-E51),0),0),0)</f>
        <v>0</v>
      </c>
      <c r="K51" s="708"/>
      <c r="L51" s="696">
        <v>1</v>
      </c>
      <c r="M51" s="656"/>
      <c r="N51" s="184">
        <f t="shared" ref="N51:N54" si="2">+J51*L51</f>
        <v>0</v>
      </c>
      <c r="O51" s="284">
        <f t="shared" ref="O51:O54" si="3">+I51+N51</f>
        <v>0</v>
      </c>
      <c r="P51" s="362"/>
    </row>
    <row r="52" spans="1:16" ht="15.75" hidden="1" customHeight="1" thickBot="1" x14ac:dyDescent="0.3">
      <c r="A52" s="754"/>
      <c r="B52" s="272"/>
      <c r="C52" s="491" t="str">
        <f>+Pkge!A115</f>
        <v>INFINITY</v>
      </c>
      <c r="D52" s="252"/>
      <c r="E52" s="418">
        <f>+Pkge!L116</f>
        <v>0</v>
      </c>
      <c r="F52" s="419">
        <f>IF((D$78*1) &gt;=100, IF( +Pkge!M116&gt;=1000,  IF(E52 &gt;=(D$78), (D$78), E52),0),0)</f>
        <v>0</v>
      </c>
      <c r="G52" s="746">
        <v>1.5</v>
      </c>
      <c r="H52" s="658"/>
      <c r="I52" s="397">
        <f t="shared" si="1"/>
        <v>0</v>
      </c>
      <c r="J52" s="707">
        <f>IF(+Pkge!I$210&gt;=5000,IF(Pkge!$M116&gt;=1000,IF(+Pkge!AC$144&gt;=2,IF(E52&gt;F52,E52-F52,F52-E52),0),0),0)</f>
        <v>0</v>
      </c>
      <c r="K52" s="708"/>
      <c r="L52" s="696">
        <v>1</v>
      </c>
      <c r="M52" s="656"/>
      <c r="N52" s="184">
        <f t="shared" si="2"/>
        <v>0</v>
      </c>
      <c r="O52" s="284">
        <f t="shared" si="3"/>
        <v>0</v>
      </c>
      <c r="P52" s="362"/>
    </row>
    <row r="53" spans="1:16" ht="15.75" hidden="1" customHeight="1" thickBot="1" x14ac:dyDescent="0.3">
      <c r="A53" s="754"/>
      <c r="B53" s="272"/>
      <c r="C53" s="491" t="str">
        <f>+Pkge!A122</f>
        <v>PUMA ADVANCE</v>
      </c>
      <c r="D53" s="252"/>
      <c r="E53" s="417">
        <f>+Pkge!L122</f>
        <v>0</v>
      </c>
      <c r="F53" s="419">
        <f>IF((D$78*1) &gt;=100, IF( +Pkge!M122&gt;=1000,  IF(E53 &gt;=(D$78), (D$78), E53),0),0)</f>
        <v>0</v>
      </c>
      <c r="G53" s="746">
        <v>1</v>
      </c>
      <c r="H53" s="658"/>
      <c r="I53" s="397">
        <f t="shared" si="1"/>
        <v>0</v>
      </c>
      <c r="J53" s="707">
        <f>IF(+Pkge!I$210&gt;=5000,IF(Pkge!$M122&gt;=1000,IF(+Pkge!AC$144&gt;=2,IF(E53&gt;F53,E53-F53,F53-E53),0),0),0)</f>
        <v>0</v>
      </c>
      <c r="K53" s="708"/>
      <c r="L53" s="696">
        <v>0.5</v>
      </c>
      <c r="M53" s="656"/>
      <c r="N53" s="184">
        <f t="shared" si="2"/>
        <v>0</v>
      </c>
      <c r="O53" s="284">
        <f t="shared" si="3"/>
        <v>0</v>
      </c>
      <c r="P53" s="362"/>
    </row>
    <row r="54" spans="1:16" ht="15.75" hidden="1" customHeight="1" thickBot="1" x14ac:dyDescent="0.3">
      <c r="A54" s="754"/>
      <c r="B54" s="272"/>
      <c r="C54" s="491" t="str">
        <f>+Pkge!A129</f>
        <v>VARRO</v>
      </c>
      <c r="D54" s="252"/>
      <c r="E54" s="468">
        <f>+Pkge!L129</f>
        <v>0</v>
      </c>
      <c r="F54" s="419">
        <f>IF((D$78*1) &gt;=100, IF( +Pkge!M129&gt;=1000,  IF(E54 &gt;=(D$78), (D$78), E54),0),0)</f>
        <v>0</v>
      </c>
      <c r="G54" s="747">
        <v>2</v>
      </c>
      <c r="H54" s="748"/>
      <c r="I54" s="472">
        <f t="shared" si="1"/>
        <v>0</v>
      </c>
      <c r="J54" s="709">
        <f>IF(+Pkge!I$210&gt;=5000,IF(Pkge!$M129&gt;=1000,IF(+Pkge!AC$144&gt;=2,IF(E54&gt;F54,E54-F54,F54-E54),0),0),0)</f>
        <v>0</v>
      </c>
      <c r="K54" s="710"/>
      <c r="L54" s="703">
        <v>1</v>
      </c>
      <c r="M54" s="704"/>
      <c r="N54" s="469">
        <f t="shared" si="2"/>
        <v>0</v>
      </c>
      <c r="O54" s="375">
        <f t="shared" si="3"/>
        <v>0</v>
      </c>
      <c r="P54" s="362"/>
    </row>
    <row r="55" spans="1:16" ht="15.75" hidden="1" customHeight="1" thickBot="1" x14ac:dyDescent="0.3">
      <c r="A55" s="754"/>
      <c r="B55" s="483"/>
      <c r="C55" s="492" t="str">
        <f>+Pkge!A158</f>
        <v>VELOCITY</v>
      </c>
      <c r="D55" s="493"/>
      <c r="E55" s="494">
        <f>+Pkge!L159</f>
        <v>0</v>
      </c>
      <c r="F55" s="495">
        <f>IF((D$78*1) &gt;=100, IF( +Pkge!M159&gt;=1000,  IF(E55 &gt;=(D$78), (D$78), E55),0),0)</f>
        <v>0</v>
      </c>
      <c r="G55" s="751">
        <v>4</v>
      </c>
      <c r="H55" s="752"/>
      <c r="I55" s="496">
        <f t="shared" ref="I55" si="4">+F55*G55</f>
        <v>0</v>
      </c>
      <c r="J55" s="799">
        <f>IF(+Pkge!I$210&gt;=5000,IF(Pkge!$M159&gt;=1000,IF(+Pkge!AC$144&gt;=2,IF(E55&gt;F55,E55-F55,F55-E55),0),0),0)</f>
        <v>0</v>
      </c>
      <c r="K55" s="800"/>
      <c r="L55" s="777">
        <v>2</v>
      </c>
      <c r="M55" s="778"/>
      <c r="N55" s="497">
        <f t="shared" ref="N55" si="5">+J55*L55</f>
        <v>0</v>
      </c>
      <c r="O55" s="471">
        <f t="shared" ref="O55" si="6">+I55+N55</f>
        <v>0</v>
      </c>
      <c r="P55" s="362"/>
    </row>
    <row r="56" spans="1:16" ht="15.75" hidden="1" customHeight="1" thickBot="1" x14ac:dyDescent="0.3">
      <c r="A56" s="754"/>
      <c r="B56" s="251"/>
      <c r="C56" s="254"/>
      <c r="D56" s="254"/>
      <c r="E56" s="255"/>
      <c r="F56" s="498"/>
      <c r="G56" s="251"/>
      <c r="H56" s="251"/>
      <c r="I56" s="250"/>
      <c r="J56" s="260"/>
      <c r="K56" s="260"/>
      <c r="L56" s="251"/>
      <c r="M56" s="251"/>
      <c r="N56" s="250"/>
      <c r="O56" s="250"/>
      <c r="P56" s="362"/>
    </row>
    <row r="57" spans="1:16" ht="15.75" hidden="1" customHeight="1" thickBot="1" x14ac:dyDescent="0.3">
      <c r="A57" s="754"/>
      <c r="B57" s="473" t="s">
        <v>342</v>
      </c>
      <c r="C57" s="499" t="str">
        <f>+Pkge!A110</f>
        <v>CONVERGE FLEXX</v>
      </c>
      <c r="D57" s="263"/>
      <c r="E57" s="264">
        <f>+Pkge!L110</f>
        <v>0</v>
      </c>
      <c r="F57" s="500">
        <f>IF((D$78*1) &gt;=100, IF( +Pkge!M110 &gt;=1000,  IF(E57 &gt;=(D$78), (D$78), E57),0),0)</f>
        <v>0</v>
      </c>
      <c r="G57" s="744">
        <v>3</v>
      </c>
      <c r="H57" s="745"/>
      <c r="I57" s="265">
        <f t="shared" ref="I57:I64" si="7">+F57*G57</f>
        <v>0</v>
      </c>
      <c r="J57" s="705">
        <f>IF(+Pkge!I$210&gt;=5000,IF(Pkge!$M110&gt;=1000,IF(+Pkge!AC$144&gt;=2,IF(E57&gt;F57,E57-F57,F57-E57),0),0),0)</f>
        <v>0</v>
      </c>
      <c r="K57" s="706"/>
      <c r="L57" s="659">
        <v>1.5</v>
      </c>
      <c r="M57" s="660"/>
      <c r="N57" s="266">
        <f t="shared" ref="N57:N64" si="8">+J57*L57</f>
        <v>0</v>
      </c>
      <c r="O57" s="284">
        <f t="shared" ref="O57:O64" si="9">+I57+N57</f>
        <v>0</v>
      </c>
      <c r="P57" s="362"/>
    </row>
    <row r="58" spans="1:16" ht="15.75" hidden="1" customHeight="1" thickBot="1" x14ac:dyDescent="0.3">
      <c r="A58" s="754"/>
      <c r="B58" s="474"/>
      <c r="C58" s="501" t="str">
        <f>+Pkge!A111</f>
        <v>CONVERGE XT</v>
      </c>
      <c r="D58" s="257"/>
      <c r="E58" s="253">
        <f>+Pkge!L111</f>
        <v>0</v>
      </c>
      <c r="F58" s="421">
        <f>IF((D$78*1) &gt;=100, IF( +Pkge!M111 &gt;=1000,  IF(E58 &gt;=(D$78), (D$78), E58),0),0)</f>
        <v>0</v>
      </c>
      <c r="G58" s="657">
        <v>4</v>
      </c>
      <c r="H58" s="658"/>
      <c r="I58" s="183">
        <f t="shared" si="7"/>
        <v>0</v>
      </c>
      <c r="J58" s="653">
        <f>IF(+Pkge!I$210&gt;=5000,IF(Pkge!$M111&gt;=1000,IF(+Pkge!AC$144&gt;=2,IF(E58&gt;F58,E58-F58,F58-E58),0),0),0)</f>
        <v>0</v>
      </c>
      <c r="K58" s="654"/>
      <c r="L58" s="655">
        <v>2</v>
      </c>
      <c r="M58" s="656"/>
      <c r="N58" s="184">
        <f t="shared" si="8"/>
        <v>0</v>
      </c>
      <c r="O58" s="284">
        <f t="shared" si="9"/>
        <v>0</v>
      </c>
      <c r="P58" s="362"/>
    </row>
    <row r="59" spans="1:16" ht="15.75" hidden="1" customHeight="1" thickBot="1" x14ac:dyDescent="0.3">
      <c r="A59" s="754"/>
      <c r="B59" s="474"/>
      <c r="C59" s="501" t="str">
        <f>+Pkge!A154</f>
        <v>CONVINTRO CORN 12</v>
      </c>
      <c r="D59" s="257"/>
      <c r="E59" s="253">
        <f>+Pkge!L154</f>
        <v>0</v>
      </c>
      <c r="F59" s="421">
        <f>IF((D$78*1) &gt;=100, IF( +Pkge!M154 &gt;=1000,  IF(E59 &gt;=(D$78), (D$78), E59),0),0)</f>
        <v>0</v>
      </c>
      <c r="G59" s="657">
        <v>4</v>
      </c>
      <c r="H59" s="658"/>
      <c r="I59" s="183">
        <f t="shared" ref="I59" si="10">+F59*G59</f>
        <v>0</v>
      </c>
      <c r="J59" s="653">
        <f>IF(+Pkge!I$210&gt;=5000,IF(Pkge!$M154&gt;=1000,IF(+Pkge!AC$144&gt;=2,IF(E59&gt;F59,E59-F59,F59-E59),0),0),0)</f>
        <v>0</v>
      </c>
      <c r="K59" s="654"/>
      <c r="L59" s="655">
        <v>2</v>
      </c>
      <c r="M59" s="656"/>
      <c r="N59" s="184">
        <f t="shared" ref="N59" si="11">+J59*L59</f>
        <v>0</v>
      </c>
      <c r="O59" s="284">
        <f t="shared" si="9"/>
        <v>0</v>
      </c>
      <c r="P59" s="362"/>
    </row>
    <row r="60" spans="1:16" ht="15.75" hidden="1" customHeight="1" thickBot="1" x14ac:dyDescent="0.3">
      <c r="A60" s="754"/>
      <c r="B60" s="474"/>
      <c r="C60" s="501" t="str">
        <f>+Pkge!A143</f>
        <v>CORVUS</v>
      </c>
      <c r="D60" s="257"/>
      <c r="E60" s="253">
        <f>+Pkge!L143</f>
        <v>0</v>
      </c>
      <c r="F60" s="422">
        <f>IF((D$78*1) &gt;=100, IF( +Pkge!M143 &gt;=1000,  IF(E60 &gt;=(D$78), (D$78), E60),0),0)</f>
        <v>0</v>
      </c>
      <c r="G60" s="657">
        <v>3.5</v>
      </c>
      <c r="H60" s="658"/>
      <c r="I60" s="183">
        <f t="shared" ref="I60" si="12">+F60*G60</f>
        <v>0</v>
      </c>
      <c r="J60" s="653">
        <f>IF(+Pkge!I$210&gt;=5000,IF(Pkge!$M143&gt;=1000,IF(+Pkge!AC$144&gt;=2,IF(E60&gt;F60,E60-F60,F60-E60),0),0),0)</f>
        <v>0</v>
      </c>
      <c r="K60" s="654"/>
      <c r="L60" s="655">
        <v>1.75</v>
      </c>
      <c r="M60" s="656"/>
      <c r="N60" s="184">
        <f t="shared" ref="N60" si="13">+J60*L60</f>
        <v>0</v>
      </c>
      <c r="O60" s="284">
        <f t="shared" ref="O60" si="14">+I60+N60</f>
        <v>0</v>
      </c>
      <c r="P60" s="362"/>
    </row>
    <row r="61" spans="1:16" ht="15.75" hidden="1" customHeight="1" thickBot="1" x14ac:dyDescent="0.3">
      <c r="A61" s="754"/>
      <c r="B61" s="474"/>
      <c r="C61" s="501" t="str">
        <f>+Pkge!A137</f>
        <v>LAUDIS</v>
      </c>
      <c r="D61" s="257"/>
      <c r="E61" s="253">
        <f>+Pkge!L137</f>
        <v>0</v>
      </c>
      <c r="F61" s="422">
        <f>IF((D$78*1) &gt;=100, IF( +Pkge!M137 &gt;=1000,  IF(E61 &gt;=(D$78), (D$78), E61),0),0)</f>
        <v>0</v>
      </c>
      <c r="G61" s="657">
        <v>2.5</v>
      </c>
      <c r="H61" s="658"/>
      <c r="I61" s="183">
        <f t="shared" si="7"/>
        <v>0</v>
      </c>
      <c r="J61" s="653">
        <f>IF(+Pkge!I$210&gt;=5000,IF(Pkge!$M137&gt;=1000,IF(+Pkge!AC$144&gt;=2,IF(E61&gt;F61,E61-F61,F61-E61),0),0),0)</f>
        <v>0</v>
      </c>
      <c r="K61" s="654"/>
      <c r="L61" s="655">
        <v>1.25</v>
      </c>
      <c r="M61" s="656"/>
      <c r="N61" s="184">
        <f t="shared" si="8"/>
        <v>0</v>
      </c>
      <c r="O61" s="284">
        <f t="shared" si="9"/>
        <v>0</v>
      </c>
      <c r="P61" s="362"/>
    </row>
    <row r="62" spans="1:16" ht="15.75" hidden="1" customHeight="1" thickBot="1" x14ac:dyDescent="0.3">
      <c r="A62" s="754"/>
      <c r="B62" s="474"/>
      <c r="C62" s="501" t="str">
        <f>+Pkge!A117</f>
        <v>OPTION LIQUID</v>
      </c>
      <c r="D62" s="257"/>
      <c r="E62" s="253">
        <f>+Pkge!L117</f>
        <v>0</v>
      </c>
      <c r="F62" s="422">
        <f>IF((D$78*1) &gt;=100, IF( +Pkge!M117 &gt;=1000,  IF(E62 &gt;=(D$78), (D$78), E62),0),0)</f>
        <v>0</v>
      </c>
      <c r="G62" s="657">
        <v>2.5</v>
      </c>
      <c r="H62" s="658"/>
      <c r="I62" s="183">
        <f t="shared" si="7"/>
        <v>0</v>
      </c>
      <c r="J62" s="653">
        <f>IF(+Pkge!I$210&gt;=5000,IF(Pkge!$M117&gt;=1000,IF(+Pkge!AC$144&gt;=2,IF(E62&gt;F62,E62-F62,F62-E62),0),0),0)</f>
        <v>0</v>
      </c>
      <c r="K62" s="654"/>
      <c r="L62" s="655">
        <v>1.25</v>
      </c>
      <c r="M62" s="656"/>
      <c r="N62" s="184">
        <f t="shared" si="8"/>
        <v>0</v>
      </c>
      <c r="O62" s="284">
        <f t="shared" si="9"/>
        <v>0</v>
      </c>
      <c r="P62" s="362"/>
    </row>
    <row r="63" spans="1:16" ht="15.75" hidden="1" customHeight="1" thickBot="1" x14ac:dyDescent="0.3">
      <c r="A63" s="754"/>
      <c r="B63" s="474"/>
      <c r="C63" s="501" t="str">
        <f>+Pkge!A123 &amp; "/XTEND 2"</f>
        <v>ROUNDUP XTEND/XTEND 2</v>
      </c>
      <c r="D63" s="257"/>
      <c r="E63" s="253">
        <f>+Pkge!L126</f>
        <v>0</v>
      </c>
      <c r="F63" s="422">
        <f>IF((D$78*1) &gt;=100, IF( +Pkge!M126 &gt;=1000,  IF(E63 &gt;=(D$78), (D$78), E63),0),0)</f>
        <v>0</v>
      </c>
      <c r="G63" s="657">
        <v>2.5</v>
      </c>
      <c r="H63" s="658"/>
      <c r="I63" s="183">
        <f t="shared" si="7"/>
        <v>0</v>
      </c>
      <c r="J63" s="653">
        <f>IF(+Pkge!I$210&gt;=5000,IF(Pkge!$M126&gt;=1000,IF(+Pkge!AC$144&gt;=2,IF(E63&gt;F63,E63-F63,F63-E63),0),0),0)</f>
        <v>0</v>
      </c>
      <c r="K63" s="654"/>
      <c r="L63" s="655">
        <v>1.25</v>
      </c>
      <c r="M63" s="656"/>
      <c r="N63" s="184">
        <f t="shared" si="8"/>
        <v>0</v>
      </c>
      <c r="O63" s="284">
        <f t="shared" si="9"/>
        <v>0</v>
      </c>
      <c r="P63" s="362"/>
    </row>
    <row r="64" spans="1:16" ht="15.75" hidden="1" customHeight="1" thickBot="1" x14ac:dyDescent="0.3">
      <c r="A64" s="754"/>
      <c r="B64" s="474"/>
      <c r="C64" s="501" t="str">
        <f>+Pkge!A140 &amp; "/" &amp; Pkge!A142</f>
        <v>SENCOR 480 /SENCOR 75 DF</v>
      </c>
      <c r="D64" s="257"/>
      <c r="E64" s="253">
        <f>+Pkge!L142</f>
        <v>0</v>
      </c>
      <c r="F64" s="422">
        <f>IF((D$78*1) &gt;=100, IF( +Pkge!M142 &gt;=1000,  IF(E64 &gt;=(D$78), (D$78), E64),0),0)</f>
        <v>0</v>
      </c>
      <c r="G64" s="657">
        <v>0.5</v>
      </c>
      <c r="H64" s="658"/>
      <c r="I64" s="183">
        <f t="shared" si="7"/>
        <v>0</v>
      </c>
      <c r="J64" s="653">
        <f>IF(+Pkge!I$210&gt;=5000,IF(Pkge!$M142&gt;=1000,IF(+Pkge!AC$144&gt;=2,IF(E64&gt;F64,E64-F64,F64-E64),0),0),0)</f>
        <v>0</v>
      </c>
      <c r="K64" s="654"/>
      <c r="L64" s="655">
        <v>0.25</v>
      </c>
      <c r="M64" s="656"/>
      <c r="N64" s="184">
        <f t="shared" si="8"/>
        <v>0</v>
      </c>
      <c r="O64" s="284">
        <f t="shared" si="9"/>
        <v>0</v>
      </c>
      <c r="P64" s="362"/>
    </row>
    <row r="65" spans="1:17" ht="15.75" hidden="1" customHeight="1" thickBot="1" x14ac:dyDescent="0.3">
      <c r="A65" s="754"/>
      <c r="B65" s="474"/>
      <c r="C65" s="501" t="str">
        <f>+Pkge!A$130</f>
        <v>VIOS G3</v>
      </c>
      <c r="D65" s="257"/>
      <c r="E65" s="253">
        <f>+Pkge!L$130</f>
        <v>0</v>
      </c>
      <c r="F65" s="422">
        <f>IF((D$78*1) &gt;=100, IF( +Pkge!M$130 &gt;=1000,  IF(E65 &gt;=(D$78), (D$78), E65),0),0)</f>
        <v>0</v>
      </c>
      <c r="G65" s="657">
        <v>2.5</v>
      </c>
      <c r="H65" s="658"/>
      <c r="I65" s="183">
        <f>+F65*G65</f>
        <v>0</v>
      </c>
      <c r="J65" s="653">
        <f>IF(+Pkge!I$210&gt;=5000,IF(Pkge!$M130&gt;=1000,IF(+Pkge!AC$144&gt;=2,IF(E65&gt;F65,E65-F65,F65-E65),0),0),0)</f>
        <v>0</v>
      </c>
      <c r="K65" s="654"/>
      <c r="L65" s="655">
        <v>1.25</v>
      </c>
      <c r="M65" s="656"/>
      <c r="N65" s="184">
        <f>+J65*L65</f>
        <v>0</v>
      </c>
      <c r="O65" s="284">
        <f>+I65+N65</f>
        <v>0</v>
      </c>
      <c r="P65" s="362"/>
      <c r="Q65" s="374"/>
    </row>
    <row r="66" spans="1:17" ht="15.75" hidden="1" customHeight="1" thickBot="1" x14ac:dyDescent="0.3">
      <c r="A66" s="754"/>
      <c r="B66" s="475"/>
      <c r="C66" s="502" t="str">
        <f>+Pkge!A131 &amp; "/" &amp; "XTENDIMAX 2"</f>
        <v>XTENDIMAX/XTENDIMAX 2</v>
      </c>
      <c r="D66" s="268"/>
      <c r="E66" s="269">
        <f>+Pkge!L$134</f>
        <v>0</v>
      </c>
      <c r="F66" s="423">
        <f>IF((D$78*1) &gt;=100, IF( +Pkge!M$134 &gt;=1000,  IF(E66 &gt;=(D$78), (D$78), E66),0),0)</f>
        <v>0</v>
      </c>
      <c r="G66" s="749">
        <v>2</v>
      </c>
      <c r="H66" s="750"/>
      <c r="I66" s="270">
        <f>+F66*G66</f>
        <v>0</v>
      </c>
      <c r="J66" s="701">
        <f>IF(+Pkge!I$210&gt;=5000,IF(Pkge!$M134&gt;=1000,IF(+Pkge!AC$144&gt;=2,IF(E66&gt;F66,E66-F66,F66-E66),0),0),0)</f>
        <v>0</v>
      </c>
      <c r="K66" s="702"/>
      <c r="L66" s="699">
        <v>1</v>
      </c>
      <c r="M66" s="700"/>
      <c r="N66" s="271">
        <f>+J66*L66</f>
        <v>0</v>
      </c>
      <c r="O66" s="375">
        <f>+I66+N66</f>
        <v>0</v>
      </c>
      <c r="P66" s="362"/>
    </row>
    <row r="67" spans="1:17" ht="15.75" hidden="1" customHeight="1" x14ac:dyDescent="0.25">
      <c r="A67" s="754"/>
      <c r="B67" s="254"/>
      <c r="C67" s="254"/>
      <c r="D67" s="254"/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254"/>
      <c r="P67" s="362"/>
    </row>
    <row r="68" spans="1:17" ht="15.75" hidden="1" customHeight="1" thickBot="1" x14ac:dyDescent="0.3">
      <c r="A68" s="754"/>
      <c r="B68" s="254"/>
      <c r="C68" s="254"/>
      <c r="D68" s="254"/>
      <c r="E68" s="258"/>
      <c r="F68" s="258"/>
      <c r="G68" s="254"/>
      <c r="H68" s="254"/>
      <c r="I68" s="259"/>
      <c r="J68" s="261"/>
      <c r="K68" s="261"/>
      <c r="L68" s="254"/>
      <c r="M68" s="254"/>
      <c r="N68" s="259"/>
      <c r="O68" s="259"/>
      <c r="P68" s="362"/>
    </row>
    <row r="69" spans="1:17" ht="15.75" hidden="1" customHeight="1" thickBot="1" x14ac:dyDescent="0.3">
      <c r="A69" s="362"/>
      <c r="B69" s="376" t="s">
        <v>319</v>
      </c>
      <c r="C69" s="262" t="str">
        <f>+Pkge!A112</f>
        <v>DELARO COMPLETE</v>
      </c>
      <c r="D69" s="263"/>
      <c r="E69" s="264">
        <f>+Pkge!L160</f>
        <v>0</v>
      </c>
      <c r="F69" s="424">
        <f>IF((D$78) &gt;=100, IF( +Pkge!M160 &gt;=1000,  IF(E69 &gt;=(D$78*2), (D$78*2), E69),0),0)</f>
        <v>0</v>
      </c>
      <c r="G69" s="744">
        <v>2.5</v>
      </c>
      <c r="H69" s="745"/>
      <c r="I69" s="265">
        <f t="shared" ref="I69:I74" si="15">+F69*G69</f>
        <v>0</v>
      </c>
      <c r="J69" s="705">
        <f>IF(+Pkge!I$210&gt;=5000,IF(Pkge!$M160&gt;=1000,IF(+Pkge!AC$144&gt;=2,IF(E69&gt;F69,E69-F69,F69-E69),0),0),0)</f>
        <v>0</v>
      </c>
      <c r="K69" s="706"/>
      <c r="L69" s="659">
        <v>1.25</v>
      </c>
      <c r="M69" s="660"/>
      <c r="N69" s="266">
        <f t="shared" ref="N69:N74" si="16">+J69*L69</f>
        <v>0</v>
      </c>
      <c r="O69" s="284">
        <f t="shared" ref="O69:O74" si="17">+I69+N69</f>
        <v>0</v>
      </c>
      <c r="P69" s="362"/>
    </row>
    <row r="70" spans="1:17" ht="15.75" hidden="1" customHeight="1" thickBot="1" x14ac:dyDescent="0.3">
      <c r="A70" s="362"/>
      <c r="B70" s="377"/>
      <c r="C70" s="256" t="str">
        <f>+Pkge!A118</f>
        <v>PROLINE</v>
      </c>
      <c r="D70" s="257"/>
      <c r="E70" s="253">
        <f>+Pkge!L118</f>
        <v>0</v>
      </c>
      <c r="F70" s="422">
        <f>IF(D$78 &gt;=100, IF( +Pkge!M118 &gt;=1000,  IF(E70 &gt;=(D$78), (D$78), E70),0),0)</f>
        <v>0</v>
      </c>
      <c r="G70" s="657">
        <v>4</v>
      </c>
      <c r="H70" s="658"/>
      <c r="I70" s="183">
        <f t="shared" si="15"/>
        <v>0</v>
      </c>
      <c r="J70" s="653">
        <f>IF(+Pkge!I$210&gt;=5000,IF(Pkge!$M118&gt;=1000,IF(+Pkge!AC$144&gt;=2,IF(E70&gt;F70,E70-F70,F70-E70),0),0),0)</f>
        <v>0</v>
      </c>
      <c r="K70" s="654"/>
      <c r="L70" s="655">
        <v>2</v>
      </c>
      <c r="M70" s="656"/>
      <c r="N70" s="184">
        <f t="shared" si="16"/>
        <v>0</v>
      </c>
      <c r="O70" s="284">
        <f t="shared" si="17"/>
        <v>0</v>
      </c>
      <c r="P70" s="362"/>
    </row>
    <row r="71" spans="1:17" ht="15.75" hidden="1" customHeight="1" thickBot="1" x14ac:dyDescent="0.3">
      <c r="A71" s="362"/>
      <c r="B71" s="377"/>
      <c r="C71" s="256" t="str">
        <f>+Pkge!A119</f>
        <v>PROPULSE</v>
      </c>
      <c r="D71" s="257"/>
      <c r="E71" s="253">
        <f>+Pkge!L119</f>
        <v>0</v>
      </c>
      <c r="F71" s="422">
        <f>IF(D$78 &gt;=100, IF( +Pkge!M119 &gt;=1000,  IF(E71 &gt;=(D$78), (D$78), E71),0),0)</f>
        <v>0</v>
      </c>
      <c r="G71" s="657">
        <v>3</v>
      </c>
      <c r="H71" s="658"/>
      <c r="I71" s="183">
        <f t="shared" si="15"/>
        <v>0</v>
      </c>
      <c r="J71" s="653">
        <f>IF(+Pkge!I$210&gt;=5000,IF(Pkge!$M119&gt;=1000,IF(+Pkge!AC$144&gt;=2,IF(E71&gt;F71,E71-F71,F71-E71),0),0),0)</f>
        <v>0</v>
      </c>
      <c r="K71" s="654"/>
      <c r="L71" s="655">
        <v>1.5</v>
      </c>
      <c r="M71" s="656"/>
      <c r="N71" s="184">
        <f t="shared" si="16"/>
        <v>0</v>
      </c>
      <c r="O71" s="284">
        <f t="shared" si="17"/>
        <v>0</v>
      </c>
      <c r="P71" s="362"/>
    </row>
    <row r="72" spans="1:17" ht="15.75" hidden="1" customHeight="1" thickBot="1" x14ac:dyDescent="0.3">
      <c r="A72" s="362"/>
      <c r="B72" s="377"/>
      <c r="C72" s="256" t="str">
        <f>+Pkge!A139</f>
        <v>PROSARO PRO</v>
      </c>
      <c r="D72" s="257"/>
      <c r="E72" s="253">
        <f>+Pkge!L139</f>
        <v>0</v>
      </c>
      <c r="F72" s="422">
        <f>IF(D$78 &gt;=100, IF( +Pkge!M139 &gt;=1000,  IF(E72 &gt;=(D$78), (D$78), E72),0),0)</f>
        <v>0</v>
      </c>
      <c r="G72" s="657">
        <v>3.5</v>
      </c>
      <c r="H72" s="658"/>
      <c r="I72" s="183">
        <f t="shared" si="15"/>
        <v>0</v>
      </c>
      <c r="J72" s="653">
        <f>IF(+Pkge!I$210&gt;=5000,IF(Pkge!$M139&gt;=1000,IF(+Pkge!AC$144&gt;=2,IF(E72&gt;F72,E72-F72,F72-E72),0),0),0)</f>
        <v>0</v>
      </c>
      <c r="K72" s="654"/>
      <c r="L72" s="655">
        <v>1.75</v>
      </c>
      <c r="M72" s="656"/>
      <c r="N72" s="184">
        <f t="shared" si="16"/>
        <v>0</v>
      </c>
      <c r="O72" s="284">
        <f t="shared" si="17"/>
        <v>0</v>
      </c>
      <c r="P72" s="362"/>
    </row>
    <row r="73" spans="1:17" ht="15.75" hidden="1" customHeight="1" thickBot="1" x14ac:dyDescent="0.3">
      <c r="A73" s="362"/>
      <c r="B73" s="377"/>
      <c r="C73" s="256" t="str">
        <f>+Pkge!A120</f>
        <v>PROSARO XTR</v>
      </c>
      <c r="D73" s="257"/>
      <c r="E73" s="253">
        <f>+Pkge!L121</f>
        <v>0</v>
      </c>
      <c r="F73" s="422">
        <f>IF(D$78 &gt;=100, IF( +Pkge!M121 &gt;=1000,  IF(E73 &gt;=(D$78), (D$78), E73),0),0)</f>
        <v>0</v>
      </c>
      <c r="G73" s="657">
        <v>3</v>
      </c>
      <c r="H73" s="658"/>
      <c r="I73" s="183">
        <f t="shared" si="15"/>
        <v>0</v>
      </c>
      <c r="J73" s="653">
        <f>IF(+Pkge!I$210&gt;=5000,IF(Pkge!$M121&gt;=1000,IF(+Pkge!AC$144&gt;=2,IF(E73&gt;F73,E73-F73,F73-E73),0),0),0)</f>
        <v>0</v>
      </c>
      <c r="K73" s="654"/>
      <c r="L73" s="655">
        <v>1.75</v>
      </c>
      <c r="M73" s="656"/>
      <c r="N73" s="184">
        <f t="shared" si="16"/>
        <v>0</v>
      </c>
      <c r="O73" s="284">
        <f t="shared" si="17"/>
        <v>0</v>
      </c>
      <c r="P73" s="362"/>
    </row>
    <row r="74" spans="1:17" ht="15.75" hidden="1" customHeight="1" thickBot="1" x14ac:dyDescent="0.3">
      <c r="A74" s="362"/>
      <c r="B74" s="378"/>
      <c r="C74" s="267" t="str">
        <f>+Pkge!A127</f>
        <v>STRATEGO PRO</v>
      </c>
      <c r="D74" s="268"/>
      <c r="E74" s="269">
        <f>+Pkge!L128</f>
        <v>0</v>
      </c>
      <c r="F74" s="423">
        <f>IF(D$78 &gt;=100, IF( +Pkge!M128  &gt;=1000,  IF(E74 &gt;=(D$78), (D$78), E74),0),0)</f>
        <v>0</v>
      </c>
      <c r="G74" s="749">
        <v>2</v>
      </c>
      <c r="H74" s="750"/>
      <c r="I74" s="270">
        <f t="shared" si="15"/>
        <v>0</v>
      </c>
      <c r="J74" s="701">
        <f>IF(+Pkge!I$210&gt;=5000,IF(Pkge!$M128&gt;=1000,IF(+Pkge!AC$144&gt;=2,IF(E74&gt;F74,E74-F74,F74-E74),0),0),0)</f>
        <v>0</v>
      </c>
      <c r="K74" s="702"/>
      <c r="L74" s="699">
        <v>1</v>
      </c>
      <c r="M74" s="700"/>
      <c r="N74" s="271">
        <f t="shared" si="16"/>
        <v>0</v>
      </c>
      <c r="O74" s="375">
        <f t="shared" si="17"/>
        <v>0</v>
      </c>
      <c r="P74" s="362"/>
    </row>
    <row r="75" spans="1:17" ht="21" hidden="1" customHeight="1" thickBot="1" x14ac:dyDescent="0.35">
      <c r="A75" s="362"/>
      <c r="B75" s="274"/>
      <c r="C75" s="274"/>
      <c r="D75" s="274"/>
      <c r="E75" s="274"/>
      <c r="F75" s="641" t="s">
        <v>408</v>
      </c>
      <c r="G75" s="642"/>
      <c r="H75" s="642"/>
      <c r="I75" s="178">
        <f>SUM(I49:I74)</f>
        <v>0</v>
      </c>
      <c r="J75" s="643" t="s">
        <v>405</v>
      </c>
      <c r="K75" s="644"/>
      <c r="L75" s="644"/>
      <c r="M75" s="644"/>
      <c r="N75" s="178">
        <f>SUM(N49:N74)</f>
        <v>0</v>
      </c>
      <c r="O75" s="178">
        <f>SUM(O49:O74)</f>
        <v>0</v>
      </c>
      <c r="P75" s="362"/>
      <c r="Q75" s="374"/>
    </row>
    <row r="76" spans="1:17" ht="21" hidden="1" customHeight="1" x14ac:dyDescent="0.25">
      <c r="A76" s="362"/>
      <c r="B76" s="379" t="s">
        <v>412</v>
      </c>
      <c r="C76" s="380"/>
      <c r="D76" s="381">
        <f>+Pkge!L135</f>
        <v>0</v>
      </c>
      <c r="E76" s="251"/>
      <c r="F76" s="360"/>
      <c r="G76" s="251"/>
      <c r="H76" s="251"/>
      <c r="I76" s="279"/>
      <c r="J76" s="251"/>
      <c r="K76" s="251"/>
      <c r="L76" s="770"/>
      <c r="M76" s="771"/>
      <c r="N76" s="771"/>
      <c r="O76" s="250"/>
      <c r="P76" s="362"/>
    </row>
    <row r="77" spans="1:17" ht="21" hidden="1" customHeight="1" x14ac:dyDescent="0.25">
      <c r="A77" s="362"/>
      <c r="B77" s="382" t="s">
        <v>413</v>
      </c>
      <c r="C77" s="275"/>
      <c r="D77" s="383">
        <f>+Pkge!L136</f>
        <v>0</v>
      </c>
      <c r="E77" s="251"/>
      <c r="F77" s="251"/>
      <c r="G77" s="251"/>
      <c r="H77" s="251"/>
      <c r="I77" s="250"/>
      <c r="J77" s="425"/>
      <c r="K77" s="251"/>
      <c r="L77" s="251"/>
      <c r="M77" s="251"/>
      <c r="N77" s="250"/>
      <c r="O77" s="250"/>
      <c r="P77" s="362"/>
    </row>
    <row r="78" spans="1:17" ht="21" hidden="1" customHeight="1" thickBot="1" x14ac:dyDescent="0.3">
      <c r="A78" s="362"/>
      <c r="B78" s="384" t="s">
        <v>414</v>
      </c>
      <c r="C78" s="385"/>
      <c r="D78" s="386">
        <f>+Pkge!L135+Pkge!L136</f>
        <v>0</v>
      </c>
      <c r="E78" s="251"/>
      <c r="F78" s="251"/>
      <c r="G78" s="251"/>
      <c r="H78" s="251"/>
      <c r="I78" s="250"/>
      <c r="J78" s="276"/>
      <c r="K78" s="277"/>
      <c r="L78" s="251"/>
      <c r="M78" s="278"/>
      <c r="N78" s="280"/>
      <c r="O78" s="250"/>
      <c r="P78" s="362"/>
    </row>
    <row r="79" spans="1:17" ht="21" hidden="1" customHeight="1" thickBot="1" x14ac:dyDescent="0.3">
      <c r="A79" s="362"/>
      <c r="B79" s="251"/>
      <c r="C79" s="251"/>
      <c r="D79" s="251"/>
      <c r="E79" s="768"/>
      <c r="F79" s="769"/>
      <c r="G79" s="769"/>
      <c r="H79" s="769"/>
      <c r="I79" s="769"/>
      <c r="J79" s="769"/>
      <c r="K79" s="359"/>
      <c r="L79" s="251"/>
      <c r="M79" s="251"/>
      <c r="N79" s="283"/>
      <c r="O79" s="251"/>
      <c r="P79" s="362"/>
    </row>
    <row r="80" spans="1:17" ht="21" hidden="1" customHeight="1" x14ac:dyDescent="0.25">
      <c r="A80" s="362"/>
      <c r="B80" s="251"/>
      <c r="C80" s="251"/>
      <c r="D80" s="251"/>
      <c r="E80" s="759" t="s">
        <v>415</v>
      </c>
      <c r="F80" s="760"/>
      <c r="G80" s="760"/>
      <c r="H80" s="760"/>
      <c r="I80" s="760"/>
      <c r="J80" s="761"/>
      <c r="K80" s="398">
        <f>+IF( $D$78 &gt; 0, $I$75/D$78,0)</f>
        <v>0</v>
      </c>
      <c r="L80" s="251"/>
      <c r="M80" s="251"/>
      <c r="N80" s="251"/>
      <c r="O80" s="251"/>
      <c r="P80" s="362"/>
    </row>
    <row r="81" spans="1:16" ht="21" hidden="1" customHeight="1" x14ac:dyDescent="0.25">
      <c r="A81" s="362"/>
      <c r="B81" s="251"/>
      <c r="C81" s="251"/>
      <c r="D81" s="251"/>
      <c r="E81" s="762" t="s">
        <v>416</v>
      </c>
      <c r="F81" s="763"/>
      <c r="G81" s="763"/>
      <c r="H81" s="763"/>
      <c r="I81" s="763"/>
      <c r="J81" s="764"/>
      <c r="K81" s="399">
        <f>IF(D76 &gt;0,+$K$80*Pkge!C135,0)</f>
        <v>0</v>
      </c>
      <c r="L81" s="251"/>
      <c r="M81" s="251"/>
      <c r="N81" s="251"/>
      <c r="O81" s="251"/>
      <c r="P81" s="362"/>
    </row>
    <row r="82" spans="1:16" ht="21" hidden="1" customHeight="1" thickBot="1" x14ac:dyDescent="0.3">
      <c r="A82" s="362"/>
      <c r="B82" s="251"/>
      <c r="C82" s="251"/>
      <c r="D82" s="251"/>
      <c r="E82" s="765" t="s">
        <v>417</v>
      </c>
      <c r="F82" s="766"/>
      <c r="G82" s="766"/>
      <c r="H82" s="766"/>
      <c r="I82" s="766"/>
      <c r="J82" s="767"/>
      <c r="K82" s="400">
        <f>IF(D77 &gt;0,+$K$80*Pkge!C136,0)</f>
        <v>0</v>
      </c>
      <c r="L82" s="251"/>
      <c r="M82" s="251"/>
      <c r="N82" s="251"/>
      <c r="O82" s="251"/>
      <c r="P82" s="362"/>
    </row>
    <row r="83" spans="1:16" ht="22.5" hidden="1" customHeight="1" thickBot="1" x14ac:dyDescent="0.3">
      <c r="A83" s="362"/>
      <c r="B83" s="554" t="s">
        <v>431</v>
      </c>
      <c r="C83" s="251"/>
      <c r="D83" s="331"/>
      <c r="E83" s="329"/>
      <c r="F83" s="330"/>
      <c r="G83" s="330"/>
      <c r="H83" s="330"/>
      <c r="I83" s="330"/>
      <c r="J83" s="330"/>
      <c r="K83" s="281"/>
      <c r="L83" s="251"/>
      <c r="M83" s="251"/>
      <c r="N83" s="251"/>
      <c r="O83" s="251"/>
      <c r="P83" s="362"/>
    </row>
    <row r="84" spans="1:16" ht="112.5" hidden="1" customHeight="1" thickBot="1" x14ac:dyDescent="0.3">
      <c r="A84" s="362"/>
      <c r="B84" s="427" t="s">
        <v>400</v>
      </c>
      <c r="C84" s="676" t="s">
        <v>384</v>
      </c>
      <c r="D84" s="677"/>
      <c r="E84" s="371" t="s">
        <v>386</v>
      </c>
      <c r="F84" s="373" t="s">
        <v>383</v>
      </c>
      <c r="G84" s="676" t="s">
        <v>401</v>
      </c>
      <c r="H84" s="687"/>
      <c r="I84" s="676" t="s">
        <v>320</v>
      </c>
      <c r="J84" s="678"/>
      <c r="K84" s="688" t="s">
        <v>385</v>
      </c>
      <c r="L84" s="689"/>
      <c r="M84" s="251"/>
      <c r="N84" s="251"/>
      <c r="O84" s="251"/>
      <c r="P84" s="362"/>
    </row>
    <row r="85" spans="1:16" ht="5.25" hidden="1" customHeight="1" x14ac:dyDescent="0.25">
      <c r="A85" s="362"/>
      <c r="B85" s="387"/>
      <c r="C85" s="329"/>
      <c r="D85" s="251"/>
      <c r="E85" s="251"/>
      <c r="F85" s="330"/>
      <c r="G85" s="330"/>
      <c r="H85" s="330"/>
      <c r="I85" s="330"/>
      <c r="J85" s="330"/>
      <c r="K85" s="330"/>
      <c r="L85" s="388"/>
      <c r="M85" s="251"/>
      <c r="N85" s="251"/>
      <c r="O85" s="251"/>
      <c r="P85" s="362"/>
    </row>
    <row r="86" spans="1:16" ht="15.75" hidden="1" customHeight="1" x14ac:dyDescent="0.25">
      <c r="A86" s="362"/>
      <c r="B86" s="389" t="str">
        <f>+C60</f>
        <v>CORVUS</v>
      </c>
      <c r="C86" s="683">
        <f>+E60</f>
        <v>0</v>
      </c>
      <c r="D86" s="684"/>
      <c r="E86" s="336">
        <f>IF(Pkge!M143 &gt;=1000,Pkge!L143,0)</f>
        <v>0</v>
      </c>
      <c r="F86" s="332">
        <f>+Pkge!L153</f>
        <v>0</v>
      </c>
      <c r="G86" s="649">
        <f>IF(Pkge!M$153&gt;=1000,IF(E86&gt;=F$86,F$86,E86),0)</f>
        <v>0</v>
      </c>
      <c r="H86" s="650"/>
      <c r="I86" s="679">
        <v>0.25</v>
      </c>
      <c r="J86" s="680"/>
      <c r="K86" s="690">
        <f>+G86*I86</f>
        <v>0</v>
      </c>
      <c r="L86" s="691"/>
      <c r="M86" s="251"/>
      <c r="N86" s="251"/>
      <c r="O86" s="251"/>
      <c r="P86" s="362"/>
    </row>
    <row r="87" spans="1:16" ht="15.75" hidden="1" customHeight="1" x14ac:dyDescent="0.25">
      <c r="A87" s="362"/>
      <c r="B87" s="389" t="str">
        <f>+C61</f>
        <v>LAUDIS</v>
      </c>
      <c r="C87" s="683">
        <f>+E61</f>
        <v>0</v>
      </c>
      <c r="D87" s="684"/>
      <c r="E87" s="336">
        <f>IF(Pkge!M137 &gt;=1000,Pkge!L137,0)</f>
        <v>0</v>
      </c>
      <c r="F87" s="333"/>
      <c r="G87" s="649">
        <f>IF(Pkge!M$153&gt;=1000,IF(E87&gt;=F$86,F$86,E87),0)</f>
        <v>0</v>
      </c>
      <c r="H87" s="650"/>
      <c r="I87" s="679">
        <v>0.25</v>
      </c>
      <c r="J87" s="680"/>
      <c r="K87" s="690">
        <f t="shared" ref="K87:K89" si="18">+G87*I87</f>
        <v>0</v>
      </c>
      <c r="L87" s="691"/>
      <c r="M87" s="251"/>
      <c r="N87" s="251"/>
      <c r="O87" s="251"/>
      <c r="P87" s="362"/>
    </row>
    <row r="88" spans="1:16" ht="15.75" hidden="1" customHeight="1" x14ac:dyDescent="0.25">
      <c r="A88" s="362"/>
      <c r="B88" s="389" t="str">
        <f>+C63</f>
        <v>ROUNDUP XTEND/XTEND 2</v>
      </c>
      <c r="C88" s="683">
        <v>0</v>
      </c>
      <c r="D88" s="684"/>
      <c r="E88" s="336">
        <v>0</v>
      </c>
      <c r="F88" s="333"/>
      <c r="G88" s="649">
        <f>IF(Pkge!M$153&gt;=1000,IF(E88&gt;=F$86,F$86,E88),0)</f>
        <v>0</v>
      </c>
      <c r="H88" s="650"/>
      <c r="I88" s="679">
        <v>0</v>
      </c>
      <c r="J88" s="680"/>
      <c r="K88" s="690">
        <v>0</v>
      </c>
      <c r="L88" s="691"/>
      <c r="M88" s="251"/>
      <c r="N88" s="251"/>
      <c r="O88" s="251"/>
      <c r="P88" s="362"/>
    </row>
    <row r="89" spans="1:16" ht="15.75" hidden="1" customHeight="1" thickBot="1" x14ac:dyDescent="0.3">
      <c r="A89" s="362"/>
      <c r="B89" s="390" t="str">
        <f>+C$66</f>
        <v>XTENDIMAX/XTENDIMAX 2</v>
      </c>
      <c r="C89" s="685">
        <f>+E$66</f>
        <v>0</v>
      </c>
      <c r="D89" s="686"/>
      <c r="E89" s="391">
        <f>IF(Pkge!M134 &gt;=1000,Pkge!L134,0)</f>
        <v>0</v>
      </c>
      <c r="F89" s="392"/>
      <c r="G89" s="651">
        <f>IF(Pkge!M$153&gt;=1000,IF(E89&gt;=F$86,F$86,E89),0)</f>
        <v>0</v>
      </c>
      <c r="H89" s="652"/>
      <c r="I89" s="681">
        <v>0.25</v>
      </c>
      <c r="J89" s="682"/>
      <c r="K89" s="645">
        <f t="shared" si="18"/>
        <v>0</v>
      </c>
      <c r="L89" s="646"/>
      <c r="M89" s="251"/>
      <c r="N89" s="251"/>
      <c r="O89" s="251"/>
      <c r="P89" s="362"/>
    </row>
    <row r="90" spans="1:16" ht="15.75" hidden="1" customHeight="1" x14ac:dyDescent="0.25">
      <c r="A90" s="362"/>
      <c r="B90" s="282"/>
      <c r="C90" s="258"/>
      <c r="D90" s="251"/>
      <c r="E90" s="251"/>
      <c r="F90" s="258"/>
      <c r="G90" s="251"/>
      <c r="H90" s="334" t="str">
        <f>+B84 &amp; " Rebate"</f>
        <v>Roundup® Key Product Focus Rebate</v>
      </c>
      <c r="I90" s="258"/>
      <c r="J90" s="335"/>
      <c r="K90" s="647">
        <f>SUM(K86:L89)</f>
        <v>0</v>
      </c>
      <c r="L90" s="648"/>
      <c r="M90" s="251"/>
      <c r="N90" s="251"/>
      <c r="O90" s="251"/>
      <c r="P90" s="362"/>
    </row>
    <row r="91" spans="1:16" ht="15.75" hidden="1" customHeight="1" x14ac:dyDescent="0.25">
      <c r="A91" s="362"/>
      <c r="B91" s="282"/>
      <c r="C91" s="258"/>
      <c r="D91" s="251"/>
      <c r="E91" s="251"/>
      <c r="F91" s="258"/>
      <c r="G91" s="251"/>
      <c r="H91" s="251"/>
      <c r="I91" s="334"/>
      <c r="J91" s="335"/>
      <c r="K91" s="251"/>
      <c r="L91" s="251"/>
      <c r="M91" s="251"/>
      <c r="N91" s="251"/>
      <c r="O91" s="251"/>
      <c r="P91" s="362"/>
    </row>
    <row r="92" spans="1:16" ht="15.75" hidden="1" customHeight="1" thickBot="1" x14ac:dyDescent="0.3">
      <c r="A92" s="362"/>
      <c r="B92" s="282"/>
      <c r="C92" s="258"/>
      <c r="D92" s="251"/>
      <c r="E92" s="251"/>
      <c r="F92" s="258"/>
      <c r="G92" s="251"/>
      <c r="H92" s="251"/>
      <c r="I92" s="334"/>
      <c r="J92" s="335"/>
      <c r="K92" s="251"/>
      <c r="L92" s="251"/>
      <c r="M92" s="251"/>
      <c r="N92" s="251"/>
      <c r="O92" s="251"/>
      <c r="P92" s="362"/>
    </row>
    <row r="93" spans="1:16" ht="24.95" hidden="1" customHeight="1" thickBot="1" x14ac:dyDescent="0.4">
      <c r="A93" s="362"/>
      <c r="B93" s="251"/>
      <c r="C93" s="282"/>
      <c r="D93" s="254"/>
      <c r="E93" s="258"/>
      <c r="F93" s="258"/>
      <c r="G93" s="632" t="s">
        <v>409</v>
      </c>
      <c r="H93" s="633"/>
      <c r="I93" s="633"/>
      <c r="J93" s="633"/>
      <c r="K93" s="633"/>
      <c r="L93" s="633"/>
      <c r="M93" s="663">
        <f>+O75</f>
        <v>0</v>
      </c>
      <c r="N93" s="664"/>
      <c r="O93" s="251"/>
      <c r="P93" s="362"/>
    </row>
    <row r="94" spans="1:16" ht="24.95" hidden="1" customHeight="1" thickBot="1" x14ac:dyDescent="0.4">
      <c r="A94" s="362"/>
      <c r="B94" s="331"/>
      <c r="C94" s="282"/>
      <c r="D94" s="254"/>
      <c r="E94" s="258"/>
      <c r="F94" s="258"/>
      <c r="G94" s="632" t="str">
        <f>+H90</f>
        <v>Roundup® Key Product Focus Rebate</v>
      </c>
      <c r="H94" s="633"/>
      <c r="I94" s="633"/>
      <c r="J94" s="633"/>
      <c r="K94" s="633"/>
      <c r="L94" s="633"/>
      <c r="M94" s="661">
        <f>+K90</f>
        <v>0</v>
      </c>
      <c r="N94" s="662"/>
      <c r="O94" s="251"/>
      <c r="P94" s="362"/>
    </row>
    <row r="95" spans="1:16" ht="24.95" hidden="1" customHeight="1" thickBot="1" x14ac:dyDescent="0.4">
      <c r="A95" s="362"/>
      <c r="B95" s="674"/>
      <c r="C95" s="675"/>
      <c r="D95" s="675"/>
      <c r="E95" s="675"/>
      <c r="F95" s="675"/>
      <c r="G95" s="632" t="s">
        <v>411</v>
      </c>
      <c r="H95" s="633"/>
      <c r="I95" s="633"/>
      <c r="J95" s="633"/>
      <c r="K95" s="633"/>
      <c r="L95" s="633"/>
      <c r="M95" s="661">
        <f>ROUND(IF((O75) &gt;0, IF(J8 = "Yes", 0.5*Y16,0),0),0)</f>
        <v>0</v>
      </c>
      <c r="N95" s="662"/>
      <c r="O95" s="251"/>
      <c r="P95" s="362"/>
    </row>
    <row r="96" spans="1:16" ht="28.5" hidden="1" customHeight="1" thickBot="1" x14ac:dyDescent="0.55000000000000004">
      <c r="A96" s="362"/>
      <c r="B96" s="251"/>
      <c r="C96" s="251"/>
      <c r="D96" s="251"/>
      <c r="E96" s="251"/>
      <c r="F96" s="282"/>
      <c r="G96" s="634" t="str">
        <f>+R14</f>
        <v>Total BayerValue™ Rebate</v>
      </c>
      <c r="H96" s="635"/>
      <c r="I96" s="635"/>
      <c r="J96" s="635"/>
      <c r="K96" s="635"/>
      <c r="L96" s="635"/>
      <c r="M96" s="757">
        <f>SUM(M93:N95)</f>
        <v>0</v>
      </c>
      <c r="N96" s="758"/>
      <c r="O96" s="251"/>
      <c r="P96" s="362"/>
    </row>
    <row r="97" spans="1:16" ht="28.5" customHeight="1" x14ac:dyDescent="0.25">
      <c r="A97" s="362"/>
      <c r="B97" s="755"/>
      <c r="C97" s="756"/>
      <c r="D97" s="756"/>
      <c r="E97" s="756"/>
      <c r="F97" s="756"/>
      <c r="G97" s="756"/>
      <c r="H97" s="756"/>
      <c r="I97" s="756"/>
      <c r="J97" s="756"/>
      <c r="K97" s="756"/>
      <c r="L97" s="756"/>
      <c r="M97" s="756"/>
      <c r="N97" s="756"/>
      <c r="O97" s="756"/>
      <c r="P97" s="362"/>
    </row>
    <row r="98" spans="1:16" ht="15" customHeight="1" x14ac:dyDescent="0.25">
      <c r="A98" s="362"/>
      <c r="B98" s="362"/>
      <c r="C98" s="362"/>
      <c r="D98" s="362"/>
      <c r="E98" s="362"/>
      <c r="F98" s="362"/>
      <c r="G98" s="362"/>
      <c r="H98" s="362"/>
      <c r="I98" s="362"/>
      <c r="J98" s="362"/>
      <c r="K98" s="362"/>
      <c r="L98" s="362"/>
      <c r="M98" s="362"/>
      <c r="N98" s="362"/>
      <c r="O98" s="362"/>
      <c r="P98" s="362"/>
    </row>
    <row r="99" spans="1:16" ht="15" hidden="1" customHeight="1" x14ac:dyDescent="0.25">
      <c r="B99" s="623" t="e">
        <f>+Rebate_Summary!#REF!</f>
        <v>#REF!</v>
      </c>
      <c r="C99" s="624"/>
      <c r="D99" s="624"/>
      <c r="E99" s="624"/>
      <c r="F99" s="624"/>
      <c r="G99" s="624"/>
      <c r="H99" s="624"/>
      <c r="I99" s="624"/>
      <c r="J99" s="624"/>
      <c r="K99" s="624"/>
      <c r="L99" s="624"/>
      <c r="M99" s="624"/>
      <c r="N99" s="625"/>
    </row>
    <row r="100" spans="1:16" ht="15" hidden="1" customHeight="1" x14ac:dyDescent="0.25">
      <c r="B100" s="626"/>
      <c r="C100" s="627"/>
      <c r="D100" s="627"/>
      <c r="E100" s="627"/>
      <c r="F100" s="627"/>
      <c r="G100" s="627"/>
      <c r="H100" s="627"/>
      <c r="I100" s="627"/>
      <c r="J100" s="627"/>
      <c r="K100" s="627"/>
      <c r="L100" s="627"/>
      <c r="M100" s="627"/>
      <c r="N100" s="628"/>
    </row>
    <row r="101" spans="1:16" ht="15" hidden="1" customHeight="1" x14ac:dyDescent="0.25">
      <c r="B101" s="629"/>
      <c r="C101" s="630"/>
      <c r="D101" s="630"/>
      <c r="E101" s="630"/>
      <c r="F101" s="630"/>
      <c r="G101" s="630"/>
      <c r="H101" s="630"/>
      <c r="I101" s="630"/>
      <c r="J101" s="630"/>
      <c r="K101" s="630"/>
      <c r="L101" s="630"/>
      <c r="M101" s="630"/>
      <c r="N101" s="631"/>
    </row>
    <row r="102" spans="1:16" ht="15" customHeight="1" x14ac:dyDescent="0.25"/>
    <row r="103" spans="1:16" ht="15" customHeight="1" x14ac:dyDescent="0.25"/>
    <row r="104" spans="1:16" ht="15" customHeight="1" x14ac:dyDescent="0.25"/>
    <row r="105" spans="1:16" ht="15" customHeight="1" x14ac:dyDescent="0.25"/>
    <row r="106" spans="1:16" ht="15" customHeight="1" x14ac:dyDescent="0.25"/>
    <row r="107" spans="1:16" ht="15" customHeight="1" x14ac:dyDescent="0.25"/>
    <row r="108" spans="1:16" ht="15" customHeight="1" x14ac:dyDescent="0.25"/>
    <row r="109" spans="1:16" ht="15" customHeight="1" x14ac:dyDescent="0.25"/>
    <row r="110" spans="1:16" ht="15" customHeight="1" x14ac:dyDescent="0.25"/>
    <row r="111" spans="1:16" ht="15" customHeight="1" x14ac:dyDescent="0.25"/>
    <row r="112" spans="1:16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</sheetData>
  <sheetProtection algorithmName="SHA-512" hashValue="xVZvGrt6yYtuwi7Fo2/NUquSiCtjTHnQR+yKDGkGIrarCNkqHH+rlEzKZOsJzqFUziCqISEXfStrmZuxWfX5bw==" saltValue="uFy/zBbJ1VoyC3+6NH3ZlA==" spinCount="100000" sheet="1" objects="1" scenarios="1"/>
  <protectedRanges>
    <protectedRange sqref="C13:C30 G13:G31" name="Range3"/>
    <protectedRange sqref="M6" name="Range2"/>
    <protectedRange sqref="C6" name="Range1"/>
    <protectedRange sqref="C39:C40" name="Range5"/>
  </protectedRanges>
  <dataConsolidate/>
  <mergeCells count="142">
    <mergeCell ref="L55:M55"/>
    <mergeCell ref="G50:H50"/>
    <mergeCell ref="J50:K50"/>
    <mergeCell ref="L50:M50"/>
    <mergeCell ref="G34:H34"/>
    <mergeCell ref="L59:M59"/>
    <mergeCell ref="A49:A68"/>
    <mergeCell ref="E43:K43"/>
    <mergeCell ref="J34:M35"/>
    <mergeCell ref="G59:H59"/>
    <mergeCell ref="J59:K59"/>
    <mergeCell ref="B45:F45"/>
    <mergeCell ref="C47:D47"/>
    <mergeCell ref="G47:H47"/>
    <mergeCell ref="B46:F46"/>
    <mergeCell ref="J55:K55"/>
    <mergeCell ref="A13:A30"/>
    <mergeCell ref="B97:O97"/>
    <mergeCell ref="M95:N95"/>
    <mergeCell ref="J13:M13"/>
    <mergeCell ref="J70:K70"/>
    <mergeCell ref="J52:K52"/>
    <mergeCell ref="M96:N96"/>
    <mergeCell ref="E80:J80"/>
    <mergeCell ref="E81:J81"/>
    <mergeCell ref="E82:J82"/>
    <mergeCell ref="L60:M60"/>
    <mergeCell ref="E79:J79"/>
    <mergeCell ref="J71:K71"/>
    <mergeCell ref="L71:M71"/>
    <mergeCell ref="L74:M74"/>
    <mergeCell ref="L76:N76"/>
    <mergeCell ref="G74:H74"/>
    <mergeCell ref="J45:O46"/>
    <mergeCell ref="J47:K47"/>
    <mergeCell ref="L72:M72"/>
    <mergeCell ref="L73:M73"/>
    <mergeCell ref="J73:K73"/>
    <mergeCell ref="J72:K72"/>
    <mergeCell ref="J74:K74"/>
    <mergeCell ref="G72:H72"/>
    <mergeCell ref="G69:H69"/>
    <mergeCell ref="G49:H49"/>
    <mergeCell ref="G51:H51"/>
    <mergeCell ref="G57:H57"/>
    <mergeCell ref="G64:H64"/>
    <mergeCell ref="G62:H62"/>
    <mergeCell ref="G61:H61"/>
    <mergeCell ref="G63:H63"/>
    <mergeCell ref="G71:H71"/>
    <mergeCell ref="G53:H53"/>
    <mergeCell ref="G54:H54"/>
    <mergeCell ref="G70:H70"/>
    <mergeCell ref="G66:H66"/>
    <mergeCell ref="G65:H65"/>
    <mergeCell ref="G52:H52"/>
    <mergeCell ref="G55:H55"/>
    <mergeCell ref="M2:N2"/>
    <mergeCell ref="M3:N3"/>
    <mergeCell ref="M6:N6"/>
    <mergeCell ref="M5:N5"/>
    <mergeCell ref="J11:O12"/>
    <mergeCell ref="B11:B12"/>
    <mergeCell ref="F11:F12"/>
    <mergeCell ref="H8:I9"/>
    <mergeCell ref="J30:M31"/>
    <mergeCell ref="C6:F6"/>
    <mergeCell ref="D11:E11"/>
    <mergeCell ref="H11:I11"/>
    <mergeCell ref="J15:M15"/>
    <mergeCell ref="N34:N35"/>
    <mergeCell ref="L69:M69"/>
    <mergeCell ref="L70:M70"/>
    <mergeCell ref="J61:K61"/>
    <mergeCell ref="L61:M61"/>
    <mergeCell ref="L66:M66"/>
    <mergeCell ref="J66:K66"/>
    <mergeCell ref="J65:K65"/>
    <mergeCell ref="L65:M65"/>
    <mergeCell ref="J62:K62"/>
    <mergeCell ref="L62:M62"/>
    <mergeCell ref="J63:K63"/>
    <mergeCell ref="L63:M63"/>
    <mergeCell ref="L58:M58"/>
    <mergeCell ref="L53:M53"/>
    <mergeCell ref="L54:M54"/>
    <mergeCell ref="J57:K57"/>
    <mergeCell ref="J53:K53"/>
    <mergeCell ref="J54:K54"/>
    <mergeCell ref="J49:K49"/>
    <mergeCell ref="J51:K51"/>
    <mergeCell ref="J60:K60"/>
    <mergeCell ref="J69:K69"/>
    <mergeCell ref="J58:K58"/>
    <mergeCell ref="J32:M33"/>
    <mergeCell ref="B37:D37"/>
    <mergeCell ref="B95:F95"/>
    <mergeCell ref="C84:D84"/>
    <mergeCell ref="I84:J84"/>
    <mergeCell ref="I86:J86"/>
    <mergeCell ref="I87:J87"/>
    <mergeCell ref="I88:J88"/>
    <mergeCell ref="I89:J89"/>
    <mergeCell ref="C86:D86"/>
    <mergeCell ref="C87:D87"/>
    <mergeCell ref="C88:D88"/>
    <mergeCell ref="C89:D89"/>
    <mergeCell ref="G84:H84"/>
    <mergeCell ref="K84:L84"/>
    <mergeCell ref="K86:L86"/>
    <mergeCell ref="K87:L87"/>
    <mergeCell ref="K88:L88"/>
    <mergeCell ref="L49:M49"/>
    <mergeCell ref="L47:M47"/>
    <mergeCell ref="L51:M51"/>
    <mergeCell ref="L52:M52"/>
    <mergeCell ref="G73:H73"/>
    <mergeCell ref="G60:H60"/>
    <mergeCell ref="B99:N101"/>
    <mergeCell ref="G93:L93"/>
    <mergeCell ref="G94:L94"/>
    <mergeCell ref="G95:L95"/>
    <mergeCell ref="G96:L96"/>
    <mergeCell ref="D1:F2"/>
    <mergeCell ref="D3:F3"/>
    <mergeCell ref="D4:F4"/>
    <mergeCell ref="N30:N31"/>
    <mergeCell ref="N32:N33"/>
    <mergeCell ref="F75:H75"/>
    <mergeCell ref="J75:M75"/>
    <mergeCell ref="K89:L89"/>
    <mergeCell ref="K90:L90"/>
    <mergeCell ref="G86:H86"/>
    <mergeCell ref="G87:H87"/>
    <mergeCell ref="G88:H88"/>
    <mergeCell ref="G89:H89"/>
    <mergeCell ref="J64:K64"/>
    <mergeCell ref="L64:M64"/>
    <mergeCell ref="G58:H58"/>
    <mergeCell ref="L57:M57"/>
    <mergeCell ref="M94:N94"/>
    <mergeCell ref="M93:N93"/>
  </mergeCells>
  <phoneticPr fontId="51" type="noConversion"/>
  <dataValidations xWindow="456" yWindow="194" count="9">
    <dataValidation type="date" operator="greaterThanOrEqual" allowBlank="1" showInputMessage="1" showErrorMessage="1" error="You must enter a valid date." prompt="Enter a valid date when this form was completed" sqref="M7:N7" xr:uid="{00000000-0002-0000-0100-000001000000}">
      <formula1>336</formula1>
    </dataValidation>
    <dataValidation allowBlank="1" showInputMessage="1" showErrorMessage="1" prompt="Enter a clearly defined name" sqref="C7:E7" xr:uid="{00000000-0002-0000-0100-000004000000}"/>
    <dataValidation allowBlank="1" showErrorMessage="1" sqref="C6:F6" xr:uid="{00000000-0002-0000-0100-000008000000}"/>
    <dataValidation type="decimal" operator="greaterThanOrEqual" allowBlank="1" showErrorMessage="1" error="You must enter a non-negative number." sqref="G35:G40" xr:uid="{F08F838C-5F9E-4553-A2E6-F61BE137B9B7}">
      <formula1>0</formula1>
    </dataValidation>
    <dataValidation type="decimal" operator="greaterThanOrEqual" allowBlank="1" showErrorMessage="1" errorTitle="Bayer CropScience" error="You must enter a number." sqref="C39:C40 G34 C13:C30 G13:G31" xr:uid="{BAB3C387-EEAD-4E9E-8820-0E715B269A02}">
      <formula1>-999999999</formula1>
    </dataValidation>
    <dataValidation type="date" operator="greaterThanOrEqual" allowBlank="1" showInputMessage="1" showErrorMessage="1" error="You must enter a valid date." prompt="Enter a valid date when this form was completed" sqref="M6:N6" xr:uid="{B4AD2A6A-4A2E-4796-8C9A-88741C89EA4E}">
      <formula1>1</formula1>
    </dataValidation>
    <dataValidation type="decimal" operator="greaterThanOrEqual" allowBlank="1" showErrorMessage="1" errorTitle="Invalid entry!" error="You must enter a number." sqref="D14 D17" xr:uid="{00000000-0002-0000-0100-000007000000}">
      <formula1>-999999999</formula1>
    </dataValidation>
    <dataValidation type="list" allowBlank="1" showInputMessage="1" showErrorMessage="1" errorTitle="Please select a choice" prompt="Click on your choice" sqref="C8" xr:uid="{A946CF1E-1306-4479-9AD9-E5095CEAC047}">
      <formula1>$R$9:$R$10</formula1>
    </dataValidation>
    <dataValidation type="list" allowBlank="1" showInputMessage="1" showErrorMessage="1" errorTitle="Click on your choice" prompt="Click on your choice" sqref="J8" xr:uid="{4745EABB-5197-4357-AFEC-CF686481C885}">
      <formula1>$S$9:$S$11</formula1>
    </dataValidation>
  </dataValidations>
  <pageMargins left="0.7" right="0.7" top="0.75" bottom="0.75" header="0.3" footer="0.3"/>
  <pageSetup orientation="portrait" horizontalDpi="4294967293" verticalDpi="300" r:id="rId1"/>
  <headerFooter>
    <oddFooter>&amp;R_x000D_&amp;1#&amp;"Calibri"&amp;22&amp;KFF8939 RESTRICTED</oddFooter>
  </headerFooter>
  <ignoredErrors>
    <ignoredError sqref="C12:D12 G12:H12 C38:D38" unlockedFormula="1"/>
  </ignoredErrors>
  <drawing r:id="rId2"/>
  <legacyDrawing r:id="rId3"/>
  <controls>
    <mc:AlternateContent xmlns:mc="http://schemas.openxmlformats.org/markup-compatibility/2006">
      <mc:Choice Requires="x14">
        <control shapeId="2082" r:id="rId4" name="imgBValueLogo">
          <controlPr defaultSize="0" autoLine="0" autoPict="0" r:id="rId5">
            <anchor moveWithCells="1">
              <from>
                <xdr:col>0</xdr:col>
                <xdr:colOff>66675</xdr:colOff>
                <xdr:row>1</xdr:row>
                <xdr:rowOff>28575</xdr:rowOff>
              </from>
              <to>
                <xdr:col>2</xdr:col>
                <xdr:colOff>171450</xdr:colOff>
                <xdr:row>3</xdr:row>
                <xdr:rowOff>28575</xdr:rowOff>
              </to>
            </anchor>
          </controlPr>
        </control>
      </mc:Choice>
      <mc:Fallback>
        <control shapeId="2082" r:id="rId4" name="imgBValueLogo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 tint="-0.499984740745262"/>
  </sheetPr>
  <dimension ref="B1:O60"/>
  <sheetViews>
    <sheetView showGridLines="0" showRowColHeaders="0" workbookViewId="0">
      <selection activeCell="D4" sqref="D4"/>
    </sheetView>
  </sheetViews>
  <sheetFormatPr defaultRowHeight="15" x14ac:dyDescent="0.25"/>
  <cols>
    <col min="1" max="1" width="0.85546875" customWidth="1"/>
    <col min="2" max="2" width="19.28515625" customWidth="1"/>
    <col min="3" max="3" width="25.28515625" style="1" customWidth="1"/>
    <col min="4" max="4" width="13.42578125" style="1" customWidth="1"/>
    <col min="5" max="5" width="13" customWidth="1"/>
    <col min="6" max="6" width="12.7109375" customWidth="1"/>
    <col min="7" max="7" width="15.28515625" customWidth="1"/>
    <col min="8" max="8" width="13" customWidth="1"/>
    <col min="9" max="9" width="12.7109375" customWidth="1"/>
    <col min="10" max="10" width="15.28515625" customWidth="1"/>
    <col min="11" max="11" width="16.85546875" customWidth="1"/>
    <col min="12" max="12" width="0.85546875" hidden="1" customWidth="1"/>
    <col min="13" max="13" width="13.140625" customWidth="1"/>
    <col min="14" max="14" width="7" customWidth="1"/>
    <col min="15" max="15" width="1.28515625" customWidth="1"/>
    <col min="16" max="16" width="1.42578125" customWidth="1"/>
  </cols>
  <sheetData>
    <row r="1" spans="2:14" ht="8.25" customHeight="1" x14ac:dyDescent="0.25"/>
    <row r="2" spans="2:14" ht="33" customHeight="1" x14ac:dyDescent="0.35">
      <c r="B2" s="1"/>
      <c r="D2" s="811" t="str">
        <f>+Purchases!D1</f>
        <v>2026 BayerValue™  Rebate Calculator</v>
      </c>
      <c r="E2" s="811"/>
      <c r="F2" s="811"/>
      <c r="G2" s="811"/>
      <c r="H2" s="811"/>
      <c r="I2" s="507"/>
      <c r="J2" s="508"/>
      <c r="K2" s="508"/>
      <c r="L2" s="441"/>
      <c r="M2" s="442"/>
    </row>
    <row r="3" spans="2:14" ht="17.25" customHeight="1" x14ac:dyDescent="0.25">
      <c r="B3" s="1"/>
      <c r="F3" s="509" t="str">
        <f>+Purchases!D3 &amp; ", " &amp; Purchases!D4</f>
        <v>Eastern Canada Field Crops- for Estimate Purposes Only, Version 26.20P</v>
      </c>
      <c r="G3" s="510"/>
      <c r="H3" s="511"/>
      <c r="I3" s="510"/>
      <c r="J3" s="510"/>
      <c r="L3" s="441"/>
      <c r="M3" s="442"/>
    </row>
    <row r="4" spans="2:14" ht="16.5" customHeight="1" x14ac:dyDescent="0.25">
      <c r="B4" s="1"/>
      <c r="G4" s="512"/>
      <c r="H4" s="512"/>
      <c r="I4" s="512"/>
      <c r="J4" s="511"/>
      <c r="K4" s="511"/>
      <c r="L4" s="513"/>
      <c r="M4" s="513"/>
    </row>
    <row r="5" spans="2:14" ht="17.100000000000001" customHeight="1" x14ac:dyDescent="0.35">
      <c r="B5" s="514" t="str">
        <f>+Purchases!B6</f>
        <v>Farm Name:</v>
      </c>
      <c r="C5" s="813">
        <f>+Purchases!C6</f>
        <v>0</v>
      </c>
      <c r="D5" s="813"/>
      <c r="E5" s="814"/>
      <c r="F5" s="814"/>
      <c r="G5" s="515"/>
      <c r="I5" s="516" t="str">
        <f>"Total Rebate :"</f>
        <v>Total Rebate :</v>
      </c>
      <c r="J5" s="801">
        <f>+Purchases!N34</f>
        <v>0</v>
      </c>
      <c r="K5" s="802"/>
      <c r="L5" s="517"/>
      <c r="M5" s="517"/>
      <c r="N5" s="1"/>
    </row>
    <row r="6" spans="2:14" ht="9.75" customHeight="1" x14ac:dyDescent="0.25">
      <c r="B6" s="518"/>
      <c r="C6" s="519"/>
      <c r="D6" s="519"/>
      <c r="E6" s="520"/>
      <c r="F6" s="520"/>
      <c r="G6" s="520"/>
      <c r="H6" s="521"/>
      <c r="I6" s="522"/>
      <c r="J6" s="16"/>
      <c r="K6" s="523"/>
      <c r="L6" s="517"/>
      <c r="M6" s="517"/>
      <c r="N6" s="1"/>
    </row>
    <row r="7" spans="2:14" ht="21" customHeight="1" x14ac:dyDescent="0.3">
      <c r="B7" s="524" t="str">
        <f>+Purchases!E43</f>
        <v>BayerValue™ East Rewards</v>
      </c>
      <c r="C7" s="524"/>
      <c r="D7" s="525"/>
      <c r="E7" s="526"/>
      <c r="F7" s="49" t="s">
        <v>371</v>
      </c>
      <c r="G7" s="812">
        <f>IF(+Purchases!M6 = " ", " ", +Purchases!M6)</f>
        <v>46042</v>
      </c>
      <c r="H7" s="812"/>
      <c r="K7" s="16"/>
      <c r="L7" s="16"/>
      <c r="M7" s="16"/>
    </row>
    <row r="8" spans="2:14" ht="67.5" customHeight="1" x14ac:dyDescent="0.25">
      <c r="B8" s="439"/>
      <c r="C8" s="439" t="str">
        <f>+Purchases!C47</f>
        <v>Product</v>
      </c>
      <c r="D8" s="439" t="str">
        <f>+Purchases!E47</f>
        <v>Total Crop Protection Brand Acres</v>
      </c>
      <c r="E8" s="439" t="str">
        <f>+Purchases!F47</f>
        <v>Matching Trait Acres*</v>
      </c>
      <c r="F8" s="439" t="str">
        <f>+Purchases!G47</f>
        <v>$/Acre on Matched Acres</v>
      </c>
      <c r="G8" s="439" t="str">
        <f>+Purchases!I47</f>
        <v>Rebate on Matched Trait Acres</v>
      </c>
      <c r="H8" s="440" t="str">
        <f>+Purchases!J47</f>
        <v>Unmatched Acres**</v>
      </c>
      <c r="I8" s="440" t="str">
        <f>+Purchases!L47</f>
        <v>$/Acre on Unmatched Acres</v>
      </c>
      <c r="J8" s="440" t="str">
        <f>+Purchases!N47</f>
        <v>Rebate on Unmatched Acres</v>
      </c>
      <c r="K8" s="439" t="str">
        <f>+Purchases!O47</f>
        <v>Total Reward</v>
      </c>
      <c r="N8" s="527"/>
    </row>
    <row r="9" spans="2:14" ht="16.5" customHeight="1" x14ac:dyDescent="0.25">
      <c r="B9" s="528"/>
      <c r="D9" s="529"/>
      <c r="E9" s="529"/>
      <c r="F9" s="529"/>
      <c r="G9" s="529"/>
      <c r="H9" s="529"/>
      <c r="I9" s="529"/>
      <c r="J9" s="529"/>
      <c r="K9" s="529"/>
      <c r="N9" s="416"/>
    </row>
    <row r="10" spans="2:14" ht="16.5" customHeight="1" x14ac:dyDescent="0.25">
      <c r="B10" s="803" t="str">
        <f>+Purchases!B49</f>
        <v>Cereal Herbicides</v>
      </c>
      <c r="C10" s="342" t="str">
        <f>+Purchases!C49</f>
        <v xml:space="preserve">BUCTRIL M </v>
      </c>
      <c r="D10" s="343">
        <f>+Purchases!E49</f>
        <v>0</v>
      </c>
      <c r="E10" s="344">
        <f>+Purchases!F49</f>
        <v>0</v>
      </c>
      <c r="F10" s="345">
        <f>+Purchases!G49</f>
        <v>1</v>
      </c>
      <c r="G10" s="345">
        <f>+Purchases!I49</f>
        <v>0</v>
      </c>
      <c r="H10" s="346">
        <f>+Purchases!J49</f>
        <v>0</v>
      </c>
      <c r="I10" s="347">
        <f>+Purchases!L49</f>
        <v>0.5</v>
      </c>
      <c r="J10" s="345">
        <f>+Purchases!N49</f>
        <v>0</v>
      </c>
      <c r="K10" s="348">
        <f>+Purchases!O49</f>
        <v>0</v>
      </c>
      <c r="N10" s="416"/>
    </row>
    <row r="11" spans="2:14" ht="16.5" customHeight="1" x14ac:dyDescent="0.25">
      <c r="B11" s="809"/>
      <c r="C11" s="342" t="str">
        <f>+Purchases!C50</f>
        <v>HUSKIE® PRE</v>
      </c>
      <c r="D11" s="343">
        <f>+Purchases!E50</f>
        <v>0</v>
      </c>
      <c r="E11" s="344">
        <f>+Purchases!F50</f>
        <v>0</v>
      </c>
      <c r="F11" s="345">
        <f>+Purchases!G50</f>
        <v>1</v>
      </c>
      <c r="G11" s="345">
        <f>+Purchases!I50</f>
        <v>0</v>
      </c>
      <c r="H11" s="346">
        <f>+Purchases!J50</f>
        <v>0</v>
      </c>
      <c r="I11" s="347">
        <f>+Purchases!L50</f>
        <v>0.5</v>
      </c>
      <c r="J11" s="345">
        <f>+Purchases!N50</f>
        <v>0</v>
      </c>
      <c r="K11" s="348">
        <f>+Purchases!O50</f>
        <v>0</v>
      </c>
      <c r="N11" s="416"/>
    </row>
    <row r="12" spans="2:14" ht="16.5" customHeight="1" x14ac:dyDescent="0.25">
      <c r="B12" s="809"/>
      <c r="C12" s="342" t="str">
        <f>+Purchases!C51</f>
        <v>INFINITY FX</v>
      </c>
      <c r="D12" s="343">
        <f>+Purchases!E51</f>
        <v>0</v>
      </c>
      <c r="E12" s="344">
        <f>+Purchases!F51</f>
        <v>0</v>
      </c>
      <c r="F12" s="345">
        <f>+Purchases!G51</f>
        <v>2</v>
      </c>
      <c r="G12" s="345">
        <f>+Purchases!I51</f>
        <v>0</v>
      </c>
      <c r="H12" s="346">
        <f>+Purchases!J51</f>
        <v>0</v>
      </c>
      <c r="I12" s="347">
        <f>+Purchases!L51</f>
        <v>1</v>
      </c>
      <c r="J12" s="345">
        <f>+Purchases!N51</f>
        <v>0</v>
      </c>
      <c r="K12" s="348">
        <f>+Purchases!O51</f>
        <v>0</v>
      </c>
      <c r="N12" s="416"/>
    </row>
    <row r="13" spans="2:14" ht="16.5" customHeight="1" x14ac:dyDescent="0.25">
      <c r="B13" s="809"/>
      <c r="C13" s="342" t="str">
        <f>+Purchases!C52</f>
        <v>INFINITY</v>
      </c>
      <c r="D13" s="343">
        <f>+Purchases!E52</f>
        <v>0</v>
      </c>
      <c r="E13" s="344">
        <f>+Purchases!F52</f>
        <v>0</v>
      </c>
      <c r="F13" s="345">
        <f>+Purchases!G52</f>
        <v>1.5</v>
      </c>
      <c r="G13" s="345">
        <f>+Purchases!I52</f>
        <v>0</v>
      </c>
      <c r="H13" s="346">
        <f>+Purchases!J52</f>
        <v>0</v>
      </c>
      <c r="I13" s="347">
        <f>+Purchases!L52</f>
        <v>1</v>
      </c>
      <c r="J13" s="345">
        <f>+Purchases!N52</f>
        <v>0</v>
      </c>
      <c r="K13" s="348">
        <f>+Purchases!O52</f>
        <v>0</v>
      </c>
      <c r="N13" s="416"/>
    </row>
    <row r="14" spans="2:14" ht="16.5" customHeight="1" x14ac:dyDescent="0.25">
      <c r="B14" s="809"/>
      <c r="C14" s="342" t="str">
        <f>+Purchases!C53</f>
        <v>PUMA ADVANCE</v>
      </c>
      <c r="D14" s="343">
        <f>+Purchases!E53</f>
        <v>0</v>
      </c>
      <c r="E14" s="344">
        <f>+Purchases!F53</f>
        <v>0</v>
      </c>
      <c r="F14" s="345">
        <f>+Purchases!G53</f>
        <v>1</v>
      </c>
      <c r="G14" s="345">
        <f>+Purchases!I53</f>
        <v>0</v>
      </c>
      <c r="H14" s="346">
        <f>+Purchases!J53</f>
        <v>0</v>
      </c>
      <c r="I14" s="347">
        <f>+Purchases!L53</f>
        <v>0.5</v>
      </c>
      <c r="J14" s="345">
        <f>+Purchases!N53</f>
        <v>0</v>
      </c>
      <c r="K14" s="348">
        <f>+Purchases!O53</f>
        <v>0</v>
      </c>
      <c r="N14" s="416"/>
    </row>
    <row r="15" spans="2:14" ht="16.5" customHeight="1" x14ac:dyDescent="0.25">
      <c r="B15" s="809"/>
      <c r="C15" s="342" t="str">
        <f>+Purchases!C54</f>
        <v>VARRO</v>
      </c>
      <c r="D15" s="343">
        <f>+Purchases!E54</f>
        <v>0</v>
      </c>
      <c r="E15" s="344">
        <f>+Purchases!F54</f>
        <v>0</v>
      </c>
      <c r="F15" s="345">
        <f>+Purchases!G54</f>
        <v>2</v>
      </c>
      <c r="G15" s="345">
        <f>+Purchases!I54</f>
        <v>0</v>
      </c>
      <c r="H15" s="346">
        <f>+Purchases!J54</f>
        <v>0</v>
      </c>
      <c r="I15" s="347">
        <f>+Purchases!L54</f>
        <v>1</v>
      </c>
      <c r="J15" s="345">
        <f>+Purchases!N54</f>
        <v>0</v>
      </c>
      <c r="K15" s="348">
        <f>+Purchases!O54</f>
        <v>0</v>
      </c>
      <c r="N15" s="416"/>
    </row>
    <row r="16" spans="2:14" ht="16.5" customHeight="1" x14ac:dyDescent="0.25">
      <c r="B16" s="810"/>
      <c r="C16" s="342" t="str">
        <f>+Purchases!C55</f>
        <v>VELOCITY</v>
      </c>
      <c r="D16" s="343">
        <f>+Purchases!E55</f>
        <v>0</v>
      </c>
      <c r="E16" s="344">
        <f>+Purchases!F55</f>
        <v>0</v>
      </c>
      <c r="F16" s="345">
        <f>+Purchases!G55</f>
        <v>4</v>
      </c>
      <c r="G16" s="345">
        <f>+Purchases!I55</f>
        <v>0</v>
      </c>
      <c r="H16" s="346">
        <f>+Purchases!J55</f>
        <v>0</v>
      </c>
      <c r="I16" s="347">
        <f>+Purchases!L55</f>
        <v>2</v>
      </c>
      <c r="J16" s="345">
        <f>+Purchases!N55</f>
        <v>0</v>
      </c>
      <c r="K16" s="348">
        <f>+Purchases!O55</f>
        <v>0</v>
      </c>
      <c r="N16" s="416"/>
    </row>
    <row r="17" spans="2:14" ht="16.5" customHeight="1" x14ac:dyDescent="0.25">
      <c r="B17" s="16"/>
      <c r="C17" s="528"/>
      <c r="D17" s="185"/>
      <c r="E17" s="186"/>
      <c r="F17" s="176"/>
      <c r="G17" s="176"/>
      <c r="H17" s="187"/>
      <c r="I17" s="175"/>
      <c r="J17" s="176"/>
      <c r="K17" s="178"/>
      <c r="N17" s="416"/>
    </row>
    <row r="18" spans="2:14" ht="16.5" customHeight="1" x14ac:dyDescent="0.25">
      <c r="B18" s="803" t="str">
        <f>+Purchases!B57</f>
        <v>Corn and Soybean Herbicides</v>
      </c>
      <c r="C18" s="342" t="str">
        <f>+Purchases!C57</f>
        <v>CONVERGE FLEXX</v>
      </c>
      <c r="D18" s="343">
        <f>+Purchases!E57</f>
        <v>0</v>
      </c>
      <c r="E18" s="344">
        <f>+Purchases!F57</f>
        <v>0</v>
      </c>
      <c r="F18" s="345">
        <f>+Purchases!G57</f>
        <v>3</v>
      </c>
      <c r="G18" s="345">
        <f>+Purchases!I57</f>
        <v>0</v>
      </c>
      <c r="H18" s="346">
        <f>+Purchases!J57</f>
        <v>0</v>
      </c>
      <c r="I18" s="347">
        <f>+Purchases!L57</f>
        <v>1.5</v>
      </c>
      <c r="J18" s="345">
        <f>+Purchases!N57</f>
        <v>0</v>
      </c>
      <c r="K18" s="348">
        <f>+Purchases!O57</f>
        <v>0</v>
      </c>
      <c r="N18" s="416"/>
    </row>
    <row r="19" spans="2:14" ht="16.5" customHeight="1" x14ac:dyDescent="0.25">
      <c r="B19" s="804"/>
      <c r="C19" s="342" t="str">
        <f>+Purchases!C58</f>
        <v>CONVERGE XT</v>
      </c>
      <c r="D19" s="343">
        <f>+Purchases!E58</f>
        <v>0</v>
      </c>
      <c r="E19" s="344">
        <f>+Purchases!F58</f>
        <v>0</v>
      </c>
      <c r="F19" s="345">
        <f>+Purchases!G58</f>
        <v>4</v>
      </c>
      <c r="G19" s="345">
        <f>+Purchases!I58</f>
        <v>0</v>
      </c>
      <c r="H19" s="346">
        <f>+Purchases!J58</f>
        <v>0</v>
      </c>
      <c r="I19" s="347">
        <f>+Purchases!L58</f>
        <v>2</v>
      </c>
      <c r="J19" s="345">
        <f>+Purchases!N58</f>
        <v>0</v>
      </c>
      <c r="K19" s="348">
        <f>+Purchases!O58</f>
        <v>0</v>
      </c>
      <c r="N19" s="416"/>
    </row>
    <row r="20" spans="2:14" ht="16.5" hidden="1" customHeight="1" x14ac:dyDescent="0.25">
      <c r="B20" s="804"/>
      <c r="C20" s="342" t="str">
        <f>+Purchases!C59</f>
        <v>CONVINTRO CORN 12</v>
      </c>
      <c r="D20" s="343">
        <f>+Purchases!E59</f>
        <v>0</v>
      </c>
      <c r="E20" s="344">
        <f>+Purchases!F59</f>
        <v>0</v>
      </c>
      <c r="F20" s="345">
        <f>+Purchases!G59</f>
        <v>4</v>
      </c>
      <c r="G20" s="345">
        <f>+Purchases!I59</f>
        <v>0</v>
      </c>
      <c r="H20" s="346">
        <f>+Purchases!J59</f>
        <v>0</v>
      </c>
      <c r="I20" s="347">
        <f>+Purchases!L59</f>
        <v>2</v>
      </c>
      <c r="J20" s="345">
        <f>+Purchases!N59</f>
        <v>0</v>
      </c>
      <c r="K20" s="348">
        <f>+Purchases!O59</f>
        <v>0</v>
      </c>
      <c r="N20" s="416"/>
    </row>
    <row r="21" spans="2:14" ht="16.5" customHeight="1" x14ac:dyDescent="0.25">
      <c r="B21" s="804"/>
      <c r="C21" s="342" t="str">
        <f>+Purchases!C59</f>
        <v>CONVINTRO CORN 12</v>
      </c>
      <c r="D21" s="343">
        <f>+Purchases!E59</f>
        <v>0</v>
      </c>
      <c r="E21" s="344">
        <f>+Purchases!F59</f>
        <v>0</v>
      </c>
      <c r="F21" s="345">
        <f>+Purchases!G59</f>
        <v>4</v>
      </c>
      <c r="G21" s="345">
        <f>+Purchases!I59</f>
        <v>0</v>
      </c>
      <c r="H21" s="346">
        <f>+Purchases!J59</f>
        <v>0</v>
      </c>
      <c r="I21" s="347">
        <f>+Purchases!L59</f>
        <v>2</v>
      </c>
      <c r="J21" s="345">
        <f>+Purchases!N59</f>
        <v>0</v>
      </c>
      <c r="K21" s="348">
        <f>+Purchases!O59</f>
        <v>0</v>
      </c>
      <c r="N21" s="416"/>
    </row>
    <row r="22" spans="2:14" ht="16.5" customHeight="1" x14ac:dyDescent="0.25">
      <c r="B22" s="804"/>
      <c r="C22" s="342" t="str">
        <f>+Purchases!C60</f>
        <v>CORVUS</v>
      </c>
      <c r="D22" s="343">
        <f>+Purchases!E60</f>
        <v>0</v>
      </c>
      <c r="E22" s="344">
        <f>+Purchases!F60</f>
        <v>0</v>
      </c>
      <c r="F22" s="345">
        <f>+Purchases!G60</f>
        <v>3.5</v>
      </c>
      <c r="G22" s="345">
        <f>+Purchases!I60</f>
        <v>0</v>
      </c>
      <c r="H22" s="346">
        <f>+Purchases!J60</f>
        <v>0</v>
      </c>
      <c r="I22" s="347">
        <f>+Purchases!L60</f>
        <v>1.75</v>
      </c>
      <c r="J22" s="345">
        <f>+Purchases!N60</f>
        <v>0</v>
      </c>
      <c r="K22" s="348">
        <f>+Purchases!O60</f>
        <v>0</v>
      </c>
      <c r="N22" s="416"/>
    </row>
    <row r="23" spans="2:14" ht="16.5" customHeight="1" x14ac:dyDescent="0.25">
      <c r="B23" s="804"/>
      <c r="C23" s="342" t="str">
        <f>+Purchases!C61</f>
        <v>LAUDIS</v>
      </c>
      <c r="D23" s="343">
        <f>+Purchases!E61</f>
        <v>0</v>
      </c>
      <c r="E23" s="344">
        <f>+Purchases!F61</f>
        <v>0</v>
      </c>
      <c r="F23" s="345">
        <f>+Purchases!G61</f>
        <v>2.5</v>
      </c>
      <c r="G23" s="345">
        <f>+Purchases!I61</f>
        <v>0</v>
      </c>
      <c r="H23" s="346">
        <f>+Purchases!J61</f>
        <v>0</v>
      </c>
      <c r="I23" s="347">
        <f>+Purchases!L61</f>
        <v>1.25</v>
      </c>
      <c r="J23" s="345">
        <f>+Purchases!N61</f>
        <v>0</v>
      </c>
      <c r="K23" s="348">
        <f>+Purchases!O61</f>
        <v>0</v>
      </c>
      <c r="N23" s="416"/>
    </row>
    <row r="24" spans="2:14" ht="16.5" customHeight="1" x14ac:dyDescent="0.25">
      <c r="B24" s="804"/>
      <c r="C24" s="342" t="str">
        <f>+Purchases!C62</f>
        <v>OPTION LIQUID</v>
      </c>
      <c r="D24" s="343">
        <f>+Purchases!E62</f>
        <v>0</v>
      </c>
      <c r="E24" s="344">
        <f>+Purchases!F62</f>
        <v>0</v>
      </c>
      <c r="F24" s="345">
        <f>+Purchases!G62</f>
        <v>2.5</v>
      </c>
      <c r="G24" s="345">
        <f>+Purchases!I62</f>
        <v>0</v>
      </c>
      <c r="H24" s="346">
        <f>+Purchases!J62</f>
        <v>0</v>
      </c>
      <c r="I24" s="347">
        <f>+Purchases!L62</f>
        <v>1.25</v>
      </c>
      <c r="J24" s="345">
        <f>+Purchases!N62</f>
        <v>0</v>
      </c>
      <c r="K24" s="348">
        <f>+Purchases!O62</f>
        <v>0</v>
      </c>
      <c r="N24" s="416"/>
    </row>
    <row r="25" spans="2:14" ht="16.5" customHeight="1" x14ac:dyDescent="0.25">
      <c r="B25" s="804"/>
      <c r="C25" s="342" t="str">
        <f>+Purchases!C63</f>
        <v>ROUNDUP XTEND/XTEND 2</v>
      </c>
      <c r="D25" s="343">
        <f>+Purchases!E63</f>
        <v>0</v>
      </c>
      <c r="E25" s="344">
        <f>+Purchases!F63</f>
        <v>0</v>
      </c>
      <c r="F25" s="345">
        <f>+Purchases!G63</f>
        <v>2.5</v>
      </c>
      <c r="G25" s="345">
        <f>+Purchases!I63</f>
        <v>0</v>
      </c>
      <c r="H25" s="346">
        <f>+Purchases!J63</f>
        <v>0</v>
      </c>
      <c r="I25" s="347">
        <f>+Purchases!L63</f>
        <v>1.25</v>
      </c>
      <c r="J25" s="345">
        <f>+Purchases!N63</f>
        <v>0</v>
      </c>
      <c r="K25" s="348">
        <f>+Purchases!O63</f>
        <v>0</v>
      </c>
      <c r="N25" s="416"/>
    </row>
    <row r="26" spans="2:14" ht="16.5" hidden="1" customHeight="1" x14ac:dyDescent="0.25">
      <c r="B26" s="804"/>
      <c r="C26" s="342"/>
      <c r="D26" s="343"/>
      <c r="E26" s="344"/>
      <c r="F26" s="345"/>
      <c r="G26" s="345"/>
      <c r="H26" s="346"/>
      <c r="I26" s="347"/>
      <c r="J26" s="345"/>
      <c r="K26" s="348"/>
      <c r="N26" s="416"/>
    </row>
    <row r="27" spans="2:14" ht="16.5" customHeight="1" x14ac:dyDescent="0.25">
      <c r="B27" s="804"/>
      <c r="C27" s="342" t="str">
        <f>+Purchases!C65</f>
        <v>VIOS G3</v>
      </c>
      <c r="D27" s="343">
        <f>+Purchases!E65</f>
        <v>0</v>
      </c>
      <c r="E27" s="344">
        <f>+Purchases!F65</f>
        <v>0</v>
      </c>
      <c r="F27" s="345">
        <f>+Purchases!G65</f>
        <v>2.5</v>
      </c>
      <c r="G27" s="345">
        <f>+Purchases!I65</f>
        <v>0</v>
      </c>
      <c r="H27" s="346">
        <f>+Purchases!J65</f>
        <v>0</v>
      </c>
      <c r="I27" s="347">
        <f>+Purchases!L65</f>
        <v>1.25</v>
      </c>
      <c r="J27" s="345">
        <f>+Purchases!N65</f>
        <v>0</v>
      </c>
      <c r="K27" s="348">
        <f>+Purchases!O65</f>
        <v>0</v>
      </c>
      <c r="N27" s="416"/>
    </row>
    <row r="28" spans="2:14" ht="16.5" customHeight="1" x14ac:dyDescent="0.25">
      <c r="B28" s="805"/>
      <c r="C28" s="342" t="str">
        <f>+Purchases!C66</f>
        <v>XTENDIMAX/XTENDIMAX 2</v>
      </c>
      <c r="D28" s="343">
        <f>+Purchases!E66</f>
        <v>0</v>
      </c>
      <c r="E28" s="344">
        <f>+Purchases!F66</f>
        <v>0</v>
      </c>
      <c r="F28" s="345">
        <f>+Purchases!G66</f>
        <v>2</v>
      </c>
      <c r="G28" s="345">
        <f>+Purchases!I66</f>
        <v>0</v>
      </c>
      <c r="H28" s="346">
        <f>+Purchases!J66</f>
        <v>0</v>
      </c>
      <c r="I28" s="347">
        <f>+Purchases!L66</f>
        <v>1</v>
      </c>
      <c r="J28" s="345">
        <f>+Purchases!N66</f>
        <v>0</v>
      </c>
      <c r="K28" s="348">
        <f>+Purchases!O66</f>
        <v>0</v>
      </c>
      <c r="N28" s="416"/>
    </row>
    <row r="29" spans="2:14" ht="16.5" customHeight="1" x14ac:dyDescent="0.25">
      <c r="B29" s="16"/>
      <c r="C29" s="503"/>
      <c r="D29" s="185"/>
      <c r="E29" s="186"/>
      <c r="F29" s="176"/>
      <c r="G29" s="176"/>
      <c r="H29" s="187"/>
      <c r="I29" s="175"/>
      <c r="J29" s="176"/>
      <c r="K29" s="178"/>
      <c r="N29" s="416"/>
    </row>
    <row r="30" spans="2:14" ht="16.5" customHeight="1" x14ac:dyDescent="0.25">
      <c r="B30" s="806" t="str">
        <f>+Purchases!B69</f>
        <v>Fungicides</v>
      </c>
      <c r="C30" s="342" t="str">
        <f>+Purchases!C69</f>
        <v>DELARO COMPLETE</v>
      </c>
      <c r="D30" s="343">
        <f>+Purchases!E69</f>
        <v>0</v>
      </c>
      <c r="E30" s="344">
        <f>+Purchases!F69</f>
        <v>0</v>
      </c>
      <c r="F30" s="345">
        <f>+Purchases!G69</f>
        <v>2.5</v>
      </c>
      <c r="G30" s="345">
        <f>+Purchases!I69</f>
        <v>0</v>
      </c>
      <c r="H30" s="346">
        <f>+Purchases!J69</f>
        <v>0</v>
      </c>
      <c r="I30" s="347">
        <f>+Purchases!L69</f>
        <v>1.25</v>
      </c>
      <c r="J30" s="345">
        <f>+Purchases!N69</f>
        <v>0</v>
      </c>
      <c r="K30" s="348">
        <f>+Purchases!O69</f>
        <v>0</v>
      </c>
      <c r="N30" s="416"/>
    </row>
    <row r="31" spans="2:14" ht="16.5" customHeight="1" x14ac:dyDescent="0.25">
      <c r="B31" s="807"/>
      <c r="C31" s="342" t="str">
        <f>+Purchases!C70</f>
        <v>PROLINE</v>
      </c>
      <c r="D31" s="343">
        <f>+Purchases!E70</f>
        <v>0</v>
      </c>
      <c r="E31" s="344">
        <f>+Purchases!F70</f>
        <v>0</v>
      </c>
      <c r="F31" s="345">
        <f>+Purchases!G70</f>
        <v>4</v>
      </c>
      <c r="G31" s="345">
        <f>+Purchases!I70</f>
        <v>0</v>
      </c>
      <c r="H31" s="346">
        <f>+Purchases!J70</f>
        <v>0</v>
      </c>
      <c r="I31" s="347">
        <f>+Purchases!L70</f>
        <v>2</v>
      </c>
      <c r="J31" s="345">
        <f>+Purchases!N70</f>
        <v>0</v>
      </c>
      <c r="K31" s="348">
        <f>+Purchases!O70</f>
        <v>0</v>
      </c>
      <c r="N31" s="416"/>
    </row>
    <row r="32" spans="2:14" ht="16.5" customHeight="1" x14ac:dyDescent="0.25">
      <c r="B32" s="807"/>
      <c r="C32" s="342" t="str">
        <f>+Purchases!C71</f>
        <v>PROPULSE</v>
      </c>
      <c r="D32" s="343">
        <f>+Purchases!E71</f>
        <v>0</v>
      </c>
      <c r="E32" s="344">
        <f>+Purchases!F71</f>
        <v>0</v>
      </c>
      <c r="F32" s="345">
        <f>+Purchases!G71</f>
        <v>3</v>
      </c>
      <c r="G32" s="345">
        <f>+Purchases!I71</f>
        <v>0</v>
      </c>
      <c r="H32" s="346">
        <f>+Purchases!J71</f>
        <v>0</v>
      </c>
      <c r="I32" s="347">
        <f>+Purchases!L71</f>
        <v>1.5</v>
      </c>
      <c r="J32" s="345">
        <f>+Purchases!N71</f>
        <v>0</v>
      </c>
      <c r="K32" s="348">
        <f>+Purchases!O71</f>
        <v>0</v>
      </c>
      <c r="N32" s="416"/>
    </row>
    <row r="33" spans="2:14" ht="16.5" customHeight="1" x14ac:dyDescent="0.25">
      <c r="B33" s="807"/>
      <c r="C33" s="342" t="str">
        <f>+Purchases!C72</f>
        <v>PROSARO PRO</v>
      </c>
      <c r="D33" s="343">
        <f>+Purchases!E72</f>
        <v>0</v>
      </c>
      <c r="E33" s="344">
        <f>+Purchases!F72</f>
        <v>0</v>
      </c>
      <c r="F33" s="345">
        <f>+Purchases!G72</f>
        <v>3.5</v>
      </c>
      <c r="G33" s="345">
        <f>+Purchases!I72</f>
        <v>0</v>
      </c>
      <c r="H33" s="346">
        <f>+Purchases!J72</f>
        <v>0</v>
      </c>
      <c r="I33" s="347">
        <f>+Purchases!L72</f>
        <v>1.75</v>
      </c>
      <c r="J33" s="345">
        <f>+Purchases!N72</f>
        <v>0</v>
      </c>
      <c r="K33" s="348">
        <f>+Purchases!O72</f>
        <v>0</v>
      </c>
      <c r="N33" s="416"/>
    </row>
    <row r="34" spans="2:14" ht="16.5" customHeight="1" x14ac:dyDescent="0.25">
      <c r="B34" s="807"/>
      <c r="C34" s="342" t="str">
        <f>+Purchases!C73</f>
        <v>PROSARO XTR</v>
      </c>
      <c r="D34" s="343">
        <f>+Purchases!E73</f>
        <v>0</v>
      </c>
      <c r="E34" s="344">
        <f>+Purchases!F73</f>
        <v>0</v>
      </c>
      <c r="F34" s="345">
        <f>+Purchases!G73</f>
        <v>3</v>
      </c>
      <c r="G34" s="345">
        <f>+Purchases!I73</f>
        <v>0</v>
      </c>
      <c r="H34" s="346">
        <f>+Purchases!J73</f>
        <v>0</v>
      </c>
      <c r="I34" s="347">
        <f>+Purchases!L73</f>
        <v>1.75</v>
      </c>
      <c r="J34" s="345">
        <f>+Purchases!N73</f>
        <v>0</v>
      </c>
      <c r="K34" s="348">
        <f>+Purchases!O73</f>
        <v>0</v>
      </c>
      <c r="N34" s="416"/>
    </row>
    <row r="35" spans="2:14" ht="16.5" customHeight="1" x14ac:dyDescent="0.25">
      <c r="B35" s="808"/>
      <c r="C35" s="342" t="str">
        <f>+Purchases!C74</f>
        <v>STRATEGO PRO</v>
      </c>
      <c r="D35" s="343">
        <f>+Purchases!E74</f>
        <v>0</v>
      </c>
      <c r="E35" s="344">
        <f>+Purchases!F74</f>
        <v>0</v>
      </c>
      <c r="F35" s="345">
        <f>+Purchases!G74</f>
        <v>2</v>
      </c>
      <c r="G35" s="345">
        <f>+Purchases!I74</f>
        <v>0</v>
      </c>
      <c r="H35" s="346">
        <f>+Purchases!J74</f>
        <v>0</v>
      </c>
      <c r="I35" s="347">
        <f>+Purchases!L74</f>
        <v>1</v>
      </c>
      <c r="J35" s="345">
        <f>+Purchases!N74</f>
        <v>0</v>
      </c>
      <c r="K35" s="348">
        <f>+Purchases!O74</f>
        <v>0</v>
      </c>
      <c r="N35" s="416"/>
    </row>
    <row r="36" spans="2:14" ht="16.5" customHeight="1" x14ac:dyDescent="0.25">
      <c r="C36" s="503"/>
      <c r="D36" s="530"/>
      <c r="E36" s="817" t="str">
        <f>+Purchases!F75</f>
        <v>Trait Matched Acres Rebate Total</v>
      </c>
      <c r="F36" s="818"/>
      <c r="G36" s="547">
        <f>+Purchases!I75</f>
        <v>0</v>
      </c>
      <c r="H36" s="821" t="str">
        <f>+Purchases!J75</f>
        <v>Unmatched Acres Rebate Total</v>
      </c>
      <c r="I36" s="818"/>
      <c r="J36" s="547">
        <f>+Purchases!N75</f>
        <v>0</v>
      </c>
      <c r="K36" s="547">
        <f>+Purchases!O75</f>
        <v>0</v>
      </c>
      <c r="N36" s="416"/>
    </row>
    <row r="37" spans="2:14" ht="19.5" customHeight="1" x14ac:dyDescent="0.25">
      <c r="C37" s="503"/>
      <c r="D37" s="530"/>
      <c r="E37" s="819"/>
      <c r="F37" s="820"/>
      <c r="G37" s="548"/>
      <c r="H37" s="819"/>
      <c r="I37" s="820"/>
      <c r="J37" s="549"/>
      <c r="K37" s="190"/>
      <c r="N37" s="416"/>
    </row>
    <row r="38" spans="2:14" ht="16.5" customHeight="1" x14ac:dyDescent="0.25">
      <c r="B38" s="531" t="str">
        <f>+Purchases!B45</f>
        <v>*To qualify, more than 100 acres of Seed Traits and a minimum of $1000 for each brand is required</v>
      </c>
      <c r="C38" s="503"/>
      <c r="D38" s="530"/>
      <c r="E38" s="532"/>
      <c r="F38" s="176"/>
      <c r="G38" s="176"/>
      <c r="H38" s="177"/>
      <c r="I38" s="175"/>
      <c r="J38" s="176"/>
      <c r="K38" s="176"/>
      <c r="N38" s="416"/>
    </row>
    <row r="39" spans="2:14" ht="16.5" customHeight="1" x14ac:dyDescent="0.25">
      <c r="B39" s="531" t="str">
        <f>+Purchases!J45</f>
        <v>** To qualify, more than $5000 in total crop protection and two brands of $1000 or more in purchases, is required</v>
      </c>
      <c r="C39" s="503"/>
      <c r="D39" s="530"/>
      <c r="E39" s="532"/>
      <c r="F39" s="176"/>
      <c r="G39" s="176"/>
      <c r="H39" s="177"/>
      <c r="I39" s="175"/>
      <c r="J39" s="176"/>
      <c r="K39" s="176"/>
      <c r="N39" s="416"/>
    </row>
    <row r="40" spans="2:14" ht="16.5" customHeight="1" x14ac:dyDescent="0.25">
      <c r="B40" s="531"/>
      <c r="C40" s="503"/>
      <c r="D40" s="530"/>
      <c r="E40" s="532"/>
      <c r="F40" s="176"/>
      <c r="G40" s="176"/>
      <c r="H40" s="177"/>
      <c r="I40" s="175"/>
      <c r="J40" s="176"/>
      <c r="K40" s="176"/>
      <c r="N40" s="416"/>
    </row>
    <row r="41" spans="2:14" ht="16.5" customHeight="1" x14ac:dyDescent="0.25">
      <c r="B41" s="550" t="s">
        <v>302</v>
      </c>
      <c r="C41" s="349"/>
      <c r="D41" s="351">
        <f>+Pkge!L135</f>
        <v>0</v>
      </c>
      <c r="E41" s="532"/>
      <c r="F41" s="352" t="str">
        <f>+Purchases!F33</f>
        <v>Total Crop Protection Purchases</v>
      </c>
      <c r="G41" s="353"/>
      <c r="H41" s="353"/>
      <c r="I41" s="353"/>
      <c r="J41" s="354"/>
      <c r="K41" s="358">
        <f>+Purchases!G34</f>
        <v>0</v>
      </c>
      <c r="N41" s="416"/>
    </row>
    <row r="42" spans="2:14" ht="16.5" customHeight="1" x14ac:dyDescent="0.25">
      <c r="B42" s="550" t="s">
        <v>303</v>
      </c>
      <c r="C42" s="350"/>
      <c r="D42" s="351">
        <f>+Pkge!L136</f>
        <v>0</v>
      </c>
      <c r="F42" s="352" t="str">
        <f>+Purchases!E81</f>
        <v>Total Matched Acres Rebate per Corn Bag Equivalent</v>
      </c>
      <c r="G42" s="353"/>
      <c r="H42" s="353"/>
      <c r="I42" s="353"/>
      <c r="J42" s="354"/>
      <c r="K42" s="358">
        <f>+Purchases!K81</f>
        <v>0</v>
      </c>
      <c r="N42" s="416"/>
    </row>
    <row r="43" spans="2:14" ht="16.5" customHeight="1" x14ac:dyDescent="0.25">
      <c r="B43" s="550" t="str">
        <f>+Purchases!B78</f>
        <v>Total Trait Acres</v>
      </c>
      <c r="C43" s="349"/>
      <c r="D43" s="351">
        <f>+Purchases!D78</f>
        <v>0</v>
      </c>
      <c r="E43" s="529"/>
      <c r="F43" s="352" t="str">
        <f>+Purchases!E82</f>
        <v>Total Matched Acres Rebate per Soybean Bag Equivalent</v>
      </c>
      <c r="G43" s="356"/>
      <c r="H43" s="357"/>
      <c r="I43" s="353"/>
      <c r="J43" s="354"/>
      <c r="K43" s="358">
        <f>+Purchases!K82</f>
        <v>0</v>
      </c>
      <c r="N43" s="416"/>
    </row>
    <row r="44" spans="2:14" ht="16.5" customHeight="1" x14ac:dyDescent="0.25">
      <c r="C44"/>
      <c r="D44"/>
      <c r="F44" s="352" t="str">
        <f>+Purchases!E80</f>
        <v>Total Matched Acres Rebate per Trait Acre Equivalent</v>
      </c>
      <c r="G44" s="353"/>
      <c r="H44" s="355"/>
      <c r="I44" s="353"/>
      <c r="J44" s="354"/>
      <c r="K44" s="358">
        <f>+Purchases!K80</f>
        <v>0</v>
      </c>
      <c r="M44" s="142"/>
      <c r="N44" s="416"/>
    </row>
    <row r="45" spans="2:14" ht="16.5" customHeight="1" x14ac:dyDescent="0.25">
      <c r="N45" s="416"/>
    </row>
    <row r="46" spans="2:14" ht="16.5" hidden="1" customHeight="1" x14ac:dyDescent="0.25">
      <c r="H46" s="142"/>
      <c r="K46" s="142"/>
      <c r="N46" s="416"/>
    </row>
    <row r="47" spans="2:14" ht="20.100000000000001" hidden="1" customHeight="1" x14ac:dyDescent="0.25">
      <c r="N47" s="512"/>
    </row>
    <row r="48" spans="2:14" x14ac:dyDescent="0.25">
      <c r="B48" s="533"/>
      <c r="C48" s="534"/>
      <c r="D48" s="534"/>
      <c r="E48" s="535"/>
      <c r="F48" s="535"/>
      <c r="G48" s="535"/>
      <c r="H48" s="535"/>
      <c r="I48" s="535"/>
      <c r="J48" s="535"/>
      <c r="K48" s="535"/>
      <c r="L48" s="535"/>
      <c r="M48" s="535"/>
      <c r="N48" s="536"/>
    </row>
    <row r="49" spans="2:15" ht="21" x14ac:dyDescent="0.25">
      <c r="B49" s="537"/>
      <c r="C49" s="505"/>
      <c r="D49" s="505"/>
      <c r="E49" s="16"/>
      <c r="F49" s="16"/>
      <c r="G49" s="822" t="str">
        <f>+Purchases!G93</f>
        <v>Trait Matched Acres and Unmatched Acres Rebate</v>
      </c>
      <c r="H49" s="754"/>
      <c r="I49" s="754"/>
      <c r="J49" s="754"/>
      <c r="K49" s="754"/>
      <c r="L49" s="16"/>
      <c r="M49" s="815">
        <f>+Purchases!M93</f>
        <v>0</v>
      </c>
      <c r="N49" s="816"/>
    </row>
    <row r="50" spans="2:15" ht="21" x14ac:dyDescent="0.25">
      <c r="B50" s="538"/>
      <c r="C50" s="505"/>
      <c r="D50" s="505"/>
      <c r="E50" s="16"/>
      <c r="F50" s="16"/>
      <c r="G50" s="822" t="str">
        <f>+Purchases!G95</f>
        <v>FieldView™ Rewards Rebate</v>
      </c>
      <c r="H50" s="754"/>
      <c r="I50" s="754"/>
      <c r="J50" s="754"/>
      <c r="K50" s="754"/>
      <c r="L50" s="16"/>
      <c r="M50" s="815">
        <f>+Purchases!M95</f>
        <v>0</v>
      </c>
      <c r="N50" s="816"/>
      <c r="O50" s="340"/>
    </row>
    <row r="51" spans="2:15" ht="31.5" x14ac:dyDescent="0.25">
      <c r="B51" s="537"/>
      <c r="C51" s="505"/>
      <c r="D51" s="505"/>
      <c r="E51" s="16"/>
      <c r="F51" s="16"/>
      <c r="G51" s="823" t="str">
        <f>+Purchases!G96</f>
        <v>Total BayerValue™ Rebate</v>
      </c>
      <c r="H51" s="754"/>
      <c r="I51" s="754"/>
      <c r="J51" s="754"/>
      <c r="K51" s="754"/>
      <c r="L51" s="16"/>
      <c r="M51" s="815">
        <f>+Purchases!M96</f>
        <v>0</v>
      </c>
      <c r="N51" s="816"/>
      <c r="O51" s="506"/>
    </row>
    <row r="52" spans="2:15" ht="15" customHeight="1" x14ac:dyDescent="0.25">
      <c r="B52" s="539"/>
      <c r="N52" s="540"/>
    </row>
    <row r="53" spans="2:15" ht="15" customHeight="1" x14ac:dyDescent="0.25">
      <c r="B53" s="541"/>
      <c r="C53" s="504"/>
      <c r="D53" s="504"/>
      <c r="E53" s="504"/>
      <c r="F53" s="504"/>
      <c r="G53" s="504"/>
      <c r="H53" s="504"/>
      <c r="I53" s="504"/>
      <c r="J53" s="504"/>
      <c r="K53" s="504"/>
      <c r="L53" s="504"/>
      <c r="M53" s="504"/>
      <c r="N53" s="542"/>
    </row>
    <row r="54" spans="2:15" ht="15" customHeight="1" x14ac:dyDescent="0.25">
      <c r="B54" s="541"/>
      <c r="C54" s="504"/>
      <c r="D54" s="504"/>
      <c r="E54" s="504"/>
      <c r="F54" s="504"/>
      <c r="G54" s="504"/>
      <c r="H54" s="504"/>
      <c r="I54" s="504"/>
      <c r="J54" s="504"/>
      <c r="K54" s="504"/>
      <c r="L54" s="504"/>
      <c r="M54" s="504"/>
      <c r="N54" s="542"/>
    </row>
    <row r="55" spans="2:15" ht="15" customHeight="1" x14ac:dyDescent="0.25">
      <c r="B55" s="541"/>
      <c r="C55" s="504"/>
      <c r="D55" s="504"/>
      <c r="E55" s="504"/>
      <c r="F55" s="504"/>
      <c r="G55" s="504"/>
      <c r="H55" s="504"/>
      <c r="I55" s="504"/>
      <c r="J55" s="504"/>
      <c r="K55" s="504"/>
      <c r="L55" s="504"/>
      <c r="M55" s="504"/>
      <c r="N55" s="542"/>
    </row>
    <row r="56" spans="2:15" ht="15" customHeight="1" x14ac:dyDescent="0.25">
      <c r="B56" s="543"/>
      <c r="C56" s="544"/>
      <c r="D56" s="544"/>
      <c r="E56" s="545"/>
      <c r="F56" s="545"/>
      <c r="G56" s="545"/>
      <c r="H56" s="545"/>
      <c r="I56" s="545"/>
      <c r="J56" s="545"/>
      <c r="K56" s="545"/>
      <c r="L56" s="545"/>
      <c r="M56" s="545"/>
      <c r="N56" s="546"/>
    </row>
    <row r="57" spans="2:15" ht="15" customHeight="1" x14ac:dyDescent="0.25"/>
    <row r="58" spans="2:15" ht="15" customHeight="1" x14ac:dyDescent="0.25"/>
    <row r="59" spans="2:15" ht="15" customHeight="1" x14ac:dyDescent="0.25"/>
    <row r="60" spans="2:15" ht="15" customHeight="1" x14ac:dyDescent="0.25"/>
  </sheetData>
  <sheetProtection algorithmName="SHA-512" hashValue="SW0Ec+BDY+BApGXMMOtw5SqtvlS99Nwvb5AXdLwjaZw1ZfDtPksEEQRUU6LjQgu6kJ0Rx7BZOGHCyzZKNZP9ig==" saltValue="iYcxNb3fEAaEohkQRJhakg==" spinCount="100000" sheet="1" objects="1" scenarios="1"/>
  <mergeCells count="15">
    <mergeCell ref="M49:N49"/>
    <mergeCell ref="M50:N50"/>
    <mergeCell ref="M51:N51"/>
    <mergeCell ref="E36:F37"/>
    <mergeCell ref="H36:I37"/>
    <mergeCell ref="G49:K49"/>
    <mergeCell ref="G50:K50"/>
    <mergeCell ref="G51:K51"/>
    <mergeCell ref="J5:K5"/>
    <mergeCell ref="B18:B28"/>
    <mergeCell ref="B30:B35"/>
    <mergeCell ref="B10:B16"/>
    <mergeCell ref="D2:H2"/>
    <mergeCell ref="G7:H7"/>
    <mergeCell ref="C5:F5"/>
  </mergeCells>
  <printOptions horizontalCentered="1"/>
  <pageMargins left="0.51181102362204722" right="0.35433070866141736" top="0.74803149606299213" bottom="0.19685039370078741" header="0.11811023622047245" footer="0.11811023622047245"/>
  <pageSetup scale="65" orientation="landscape" horizontalDpi="4294967293" r:id="rId1"/>
  <headerFooter>
    <oddFooter>&amp;R_x000D_&amp;1#&amp;"Calibri"&amp;22&amp;KFF8939 RESTRICTED</oddFooter>
  </headerFooter>
  <rowBreaks count="1" manualBreakCount="1">
    <brk id="4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B692F-8673-47CE-9F54-DF16C5C409C7}">
  <sheetPr codeName="Sheet5">
    <tabColor rgb="FF00B0F0"/>
  </sheetPr>
  <dimension ref="A1:V46"/>
  <sheetViews>
    <sheetView showGridLines="0" showRowColHeaders="0" workbookViewId="0">
      <selection activeCell="T37" sqref="T37"/>
    </sheetView>
  </sheetViews>
  <sheetFormatPr defaultRowHeight="15" x14ac:dyDescent="0.25"/>
  <sheetData>
    <row r="1" spans="1:22" x14ac:dyDescent="0.25">
      <c r="A1" s="621"/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  <c r="R1" s="621"/>
      <c r="S1" s="621"/>
      <c r="T1" s="621"/>
      <c r="U1" s="621"/>
      <c r="V1" s="621"/>
    </row>
    <row r="2" spans="1:22" x14ac:dyDescent="0.25">
      <c r="A2" s="621"/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1"/>
      <c r="S2" s="621"/>
      <c r="T2" s="621"/>
      <c r="U2" s="621"/>
      <c r="V2" s="621"/>
    </row>
    <row r="3" spans="1:22" x14ac:dyDescent="0.25">
      <c r="A3" s="621"/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</row>
    <row r="4" spans="1:22" x14ac:dyDescent="0.25">
      <c r="A4" s="621"/>
      <c r="B4" s="621"/>
      <c r="C4" s="621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</row>
    <row r="5" spans="1:22" x14ac:dyDescent="0.25">
      <c r="A5" s="621"/>
      <c r="B5" s="621"/>
      <c r="C5" s="621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</row>
    <row r="6" spans="1:22" x14ac:dyDescent="0.25">
      <c r="A6" s="621"/>
      <c r="B6" s="621"/>
      <c r="C6" s="621"/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</row>
    <row r="7" spans="1:22" x14ac:dyDescent="0.25">
      <c r="A7" s="621"/>
      <c r="B7" s="621"/>
      <c r="C7" s="621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</row>
    <row r="8" spans="1:22" x14ac:dyDescent="0.25">
      <c r="A8" s="621"/>
      <c r="B8" s="621"/>
      <c r="C8" s="621"/>
      <c r="D8" s="621"/>
      <c r="E8" s="621"/>
      <c r="F8" s="621"/>
      <c r="G8" s="621"/>
      <c r="H8" s="621"/>
      <c r="I8" s="621"/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2" x14ac:dyDescent="0.25">
      <c r="A9" s="621"/>
      <c r="B9" s="621"/>
      <c r="C9" s="621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2" x14ac:dyDescent="0.25">
      <c r="A10" s="621"/>
      <c r="B10" s="621"/>
      <c r="C10" s="621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2" x14ac:dyDescent="0.25">
      <c r="A11" s="621"/>
      <c r="B11" s="621"/>
      <c r="C11" s="621"/>
      <c r="D11" s="621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2" x14ac:dyDescent="0.25">
      <c r="A12" s="621"/>
      <c r="B12" s="621"/>
      <c r="C12" s="621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2" x14ac:dyDescent="0.25">
      <c r="A13" s="621"/>
      <c r="B13" s="621"/>
      <c r="C13" s="621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2" x14ac:dyDescent="0.25">
      <c r="A14" s="621"/>
      <c r="B14" s="621"/>
      <c r="C14" s="621"/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2" x14ac:dyDescent="0.25">
      <c r="A15" s="621"/>
      <c r="B15" s="621"/>
      <c r="C15" s="621"/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2" x14ac:dyDescent="0.25">
      <c r="A16" s="621"/>
      <c r="B16" s="621"/>
      <c r="C16" s="621"/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 x14ac:dyDescent="0.25">
      <c r="A17" s="621"/>
      <c r="B17" s="621"/>
      <c r="C17" s="621"/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 x14ac:dyDescent="0.25">
      <c r="A18" s="621"/>
      <c r="B18" s="621"/>
      <c r="C18" s="621"/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 x14ac:dyDescent="0.25">
      <c r="A19" s="621"/>
      <c r="B19" s="621"/>
      <c r="C19" s="621"/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 x14ac:dyDescent="0.25">
      <c r="A20" s="621"/>
      <c r="B20" s="621"/>
      <c r="C20" s="621"/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 x14ac:dyDescent="0.25">
      <c r="A21" s="621"/>
      <c r="B21" s="621"/>
      <c r="C21" s="621"/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 x14ac:dyDescent="0.25">
      <c r="A22" s="621"/>
      <c r="B22" s="621"/>
      <c r="C22" s="621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 x14ac:dyDescent="0.25">
      <c r="A23" s="621"/>
      <c r="B23" s="621"/>
      <c r="C23" s="621"/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 x14ac:dyDescent="0.25">
      <c r="A24" s="621"/>
      <c r="B24" s="621"/>
      <c r="C24" s="621"/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 x14ac:dyDescent="0.25">
      <c r="A25" s="621"/>
      <c r="B25" s="621"/>
      <c r="C25" s="621"/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 x14ac:dyDescent="0.25">
      <c r="A26" s="621"/>
      <c r="B26" s="621"/>
      <c r="C26" s="621"/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 x14ac:dyDescent="0.25">
      <c r="A27" s="621"/>
      <c r="B27" s="621"/>
      <c r="C27" s="621"/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 x14ac:dyDescent="0.25">
      <c r="A28" s="621"/>
      <c r="B28" s="621"/>
      <c r="C28" s="621"/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 x14ac:dyDescent="0.25">
      <c r="A29" s="621"/>
      <c r="B29" s="621"/>
      <c r="C29" s="621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 x14ac:dyDescent="0.25">
      <c r="A30" s="621"/>
      <c r="B30" s="621"/>
      <c r="C30" s="621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 x14ac:dyDescent="0.25">
      <c r="A31" s="621"/>
      <c r="B31" s="621"/>
      <c r="C31" s="621"/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 x14ac:dyDescent="0.25">
      <c r="A32" s="621"/>
      <c r="B32" s="621"/>
      <c r="C32" s="621"/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1:22" x14ac:dyDescent="0.25">
      <c r="A33" s="621"/>
      <c r="B33" s="621"/>
      <c r="C33" s="621"/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1:22" x14ac:dyDescent="0.25">
      <c r="A34" s="621"/>
      <c r="B34" s="621"/>
      <c r="C34" s="621"/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1:22" x14ac:dyDescent="0.25">
      <c r="A35" s="621"/>
      <c r="B35" s="621"/>
      <c r="C35" s="621"/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1:22" x14ac:dyDescent="0.25">
      <c r="A36" s="621"/>
      <c r="B36" s="621"/>
      <c r="C36" s="621"/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1:22" x14ac:dyDescent="0.25">
      <c r="A37" s="621"/>
      <c r="B37" s="621"/>
      <c r="C37" s="621"/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1:22" x14ac:dyDescent="0.25">
      <c r="A38" s="621"/>
      <c r="B38" s="621"/>
      <c r="C38" s="621"/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1:22" x14ac:dyDescent="0.25">
      <c r="A39" s="621"/>
      <c r="B39" s="621"/>
      <c r="C39" s="621"/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1:22" x14ac:dyDescent="0.25">
      <c r="A40" s="621"/>
      <c r="B40" s="621"/>
      <c r="C40" s="621"/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1:22" x14ac:dyDescent="0.25">
      <c r="A41" s="621"/>
      <c r="B41" s="621"/>
      <c r="C41" s="621"/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1:22" x14ac:dyDescent="0.25">
      <c r="A42" s="621"/>
      <c r="B42" s="621"/>
      <c r="C42" s="621"/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1:22" x14ac:dyDescent="0.25">
      <c r="A43" s="621"/>
      <c r="B43" s="621"/>
      <c r="C43" s="621"/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1:22" x14ac:dyDescent="0.25">
      <c r="A44" s="621"/>
      <c r="B44" s="621"/>
      <c r="C44" s="621"/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1:22" x14ac:dyDescent="0.25">
      <c r="A45" s="621"/>
      <c r="B45" s="621"/>
      <c r="C45" s="621"/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1:22" x14ac:dyDescent="0.25">
      <c r="A46" s="621"/>
      <c r="B46" s="621"/>
      <c r="C46" s="621"/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</sheetData>
  <sheetProtection algorithmName="SHA-512" hashValue="YOUR7K759qbS7wpUxZB7cyjgUKENBC8cQCWStRoaeqte4KLjcFv2tG9pukAAzRL+wnVQZBTMMiyDB6J8ZeDC1w==" saltValue="wwCTNrh/cvhWT2wNWaA0Sg==" spinCount="100000" sheet="1" objects="1" scenarios="1"/>
  <pageMargins left="0.7" right="0.7" top="0.75" bottom="0.75" header="0.3" footer="0.3"/>
  <headerFooter>
    <oddFooter>&amp;R_x000D_&amp;1#&amp;"Calibri"&amp;22&amp;KFF8939 RESTRICTED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80848-A0E9-4EEF-86DB-01012029B1DA}">
  <sheetPr codeName="Sheet1">
    <tabColor rgb="FFFF0000"/>
  </sheetPr>
  <dimension ref="A1"/>
  <sheetViews>
    <sheetView showGridLines="0" showRowColHeaders="0" workbookViewId="0">
      <selection activeCell="S131" sqref="S131"/>
    </sheetView>
  </sheetViews>
  <sheetFormatPr defaultRowHeight="15" x14ac:dyDescent="0.25"/>
  <sheetData/>
  <sheetProtection algorithmName="SHA-512" hashValue="k05k32MTw7qlTtwfK2IJ0YdZn0+B/NnO8ayxha70RaVWbHo8fyXYavNokdw3WWCqQoV12Q3//ZuMAk9HbAEm1Q==" saltValue="0FdycvhZIKT84uatwV582Q==" spinCount="100000" sheet="1" objects="1" scenarios="1"/>
  <pageMargins left="0.7" right="0.7" top="0.75" bottom="0.75" header="0.3" footer="0.3"/>
  <headerFooter>
    <oddFooter>&amp;R_x000D_&amp;1#&amp;"Calibri"&amp;22&amp;KFF8939 RESTRICTED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AD262"/>
  <sheetViews>
    <sheetView showGridLines="0" showRowColHeaders="0" zoomScaleNormal="100" workbookViewId="0">
      <pane xSplit="2" ySplit="3" topLeftCell="C163" activePane="bottomRight" state="frozen"/>
      <selection pane="topRight" activeCell="C1" sqref="C1"/>
      <selection pane="bottomLeft" activeCell="A4" sqref="A4"/>
      <selection pane="bottomRight" activeCell="E172" sqref="E172"/>
    </sheetView>
  </sheetViews>
  <sheetFormatPr defaultColWidth="17.28515625" defaultRowHeight="15" x14ac:dyDescent="0.25"/>
  <cols>
    <col min="1" max="1" width="30.5703125" style="16" customWidth="1"/>
    <col min="2" max="2" width="35.42578125" style="16" customWidth="1"/>
    <col min="3" max="3" width="12.42578125" style="16" customWidth="1"/>
    <col min="4" max="4" width="6.7109375" style="16" customWidth="1"/>
    <col min="5" max="5" width="13.5703125" style="16" customWidth="1"/>
    <col min="6" max="6" width="11.85546875" style="16" customWidth="1"/>
    <col min="7" max="7" width="16.42578125" style="16" customWidth="1"/>
    <col min="8" max="8" width="10.140625" style="16" customWidth="1"/>
    <col min="9" max="9" width="19.42578125" style="16" customWidth="1"/>
    <col min="10" max="10" width="14" style="16" customWidth="1"/>
    <col min="11" max="11" width="8.28515625" style="16" hidden="1" customWidth="1"/>
    <col min="12" max="12" width="15.28515625" style="16" customWidth="1"/>
    <col min="13" max="13" width="20.42578125" style="16" customWidth="1"/>
    <col min="14" max="14" width="17.85546875" style="16" customWidth="1"/>
    <col min="15" max="15" width="27.140625" style="16" customWidth="1"/>
    <col min="16" max="16" width="12" style="16" customWidth="1"/>
    <col min="17" max="18" width="0" style="16" hidden="1" customWidth="1"/>
    <col min="19" max="19" width="13" style="16" hidden="1" customWidth="1"/>
    <col min="20" max="20" width="8.85546875" style="16" customWidth="1"/>
    <col min="21" max="21" width="38.7109375" style="16" customWidth="1"/>
    <col min="22" max="22" width="17.5703125" style="16" customWidth="1"/>
    <col min="23" max="23" width="47.42578125" style="16" customWidth="1"/>
    <col min="24" max="24" width="17.28515625" style="16"/>
    <col min="25" max="25" width="22" style="143" customWidth="1"/>
    <col min="26" max="26" width="19.28515625" style="16" customWidth="1"/>
    <col min="27" max="27" width="17.28515625" style="16"/>
    <col min="28" max="28" width="18.28515625" style="16" customWidth="1"/>
    <col min="29" max="16384" width="17.28515625" style="16"/>
  </cols>
  <sheetData>
    <row r="1" spans="1:28" ht="29.25" customHeight="1" x14ac:dyDescent="0.25">
      <c r="A1" s="5" t="s">
        <v>52</v>
      </c>
      <c r="B1" s="6" t="s">
        <v>53</v>
      </c>
      <c r="C1" s="7" t="s">
        <v>48</v>
      </c>
      <c r="D1" s="91" t="s">
        <v>54</v>
      </c>
      <c r="E1" s="8" t="s">
        <v>3</v>
      </c>
      <c r="F1" s="7" t="s">
        <v>55</v>
      </c>
      <c r="G1" s="824" t="s">
        <v>211</v>
      </c>
      <c r="H1" s="826" t="s">
        <v>212</v>
      </c>
      <c r="I1" s="68" t="s">
        <v>187</v>
      </c>
      <c r="J1" s="828" t="s">
        <v>190</v>
      </c>
      <c r="K1" s="9" t="s">
        <v>59</v>
      </c>
      <c r="L1" s="10" t="s">
        <v>57</v>
      </c>
      <c r="M1" s="71" t="s">
        <v>58</v>
      </c>
      <c r="N1" s="11" t="s">
        <v>56</v>
      </c>
      <c r="O1" s="12" t="s">
        <v>59</v>
      </c>
      <c r="P1" s="409" t="s">
        <v>60</v>
      </c>
      <c r="Q1" s="15" t="s">
        <v>106</v>
      </c>
      <c r="R1" s="14" t="s">
        <v>107</v>
      </c>
      <c r="S1" s="13" t="s">
        <v>106</v>
      </c>
      <c r="T1" s="15" t="s">
        <v>165</v>
      </c>
      <c r="U1" s="13" t="s">
        <v>168</v>
      </c>
      <c r="V1" s="13" t="s">
        <v>170</v>
      </c>
      <c r="W1" s="16" t="s">
        <v>202</v>
      </c>
      <c r="X1" s="16" t="s">
        <v>223</v>
      </c>
      <c r="Y1" s="143" t="s">
        <v>274</v>
      </c>
      <c r="Z1" s="173" t="s">
        <v>273</v>
      </c>
      <c r="AA1" s="339" t="s">
        <v>323</v>
      </c>
      <c r="AB1" s="339"/>
    </row>
    <row r="2" spans="1:28" ht="24.75" customHeight="1" thickBot="1" x14ac:dyDescent="0.3">
      <c r="A2" s="17" t="s">
        <v>185</v>
      </c>
      <c r="B2" s="18"/>
      <c r="C2" s="18"/>
      <c r="D2" s="19" t="s">
        <v>186</v>
      </c>
      <c r="E2" s="20" t="s">
        <v>436</v>
      </c>
      <c r="F2" s="19" t="s">
        <v>61</v>
      </c>
      <c r="G2" s="825"/>
      <c r="H2" s="827"/>
      <c r="I2" s="70" t="s">
        <v>188</v>
      </c>
      <c r="J2" s="829"/>
      <c r="K2" s="21" t="s">
        <v>63</v>
      </c>
      <c r="L2" s="22" t="s">
        <v>62</v>
      </c>
      <c r="M2" s="72" t="s">
        <v>189</v>
      </c>
      <c r="N2" s="23" t="s">
        <v>62</v>
      </c>
      <c r="O2" s="24" t="s">
        <v>64</v>
      </c>
      <c r="P2" s="410" t="s">
        <v>420</v>
      </c>
      <c r="Q2" s="27" t="s">
        <v>105</v>
      </c>
      <c r="R2" s="26" t="s">
        <v>105</v>
      </c>
      <c r="S2" s="25" t="s">
        <v>108</v>
      </c>
      <c r="T2" s="27" t="s">
        <v>166</v>
      </c>
      <c r="U2" s="28"/>
      <c r="V2" s="28"/>
      <c r="Z2" s="172"/>
      <c r="AA2" s="593"/>
      <c r="AB2" s="594" t="s">
        <v>389</v>
      </c>
    </row>
    <row r="3" spans="1:28" ht="15.75" thickBot="1" x14ac:dyDescent="0.3">
      <c r="A3" s="223" t="str">
        <f>IF(B$3 =1, "Units", "Acres")</f>
        <v>Acres</v>
      </c>
      <c r="B3" s="224">
        <f>IF(Purchases!C8 = "Acres", 2, 1)</f>
        <v>2</v>
      </c>
      <c r="C3" s="225"/>
      <c r="D3" s="226" t="s">
        <v>65</v>
      </c>
      <c r="E3" s="227"/>
      <c r="F3" s="228"/>
      <c r="G3" s="90" t="str">
        <f>IF(B$3 =1, "Acres", "Units")</f>
        <v>Units</v>
      </c>
      <c r="H3" s="69" t="str">
        <f>+A3</f>
        <v>Acres</v>
      </c>
      <c r="I3" s="71" t="s">
        <v>66</v>
      </c>
      <c r="J3" s="69" t="s">
        <v>1</v>
      </c>
      <c r="K3" s="69" t="s">
        <v>67</v>
      </c>
      <c r="L3" s="69" t="s">
        <v>2</v>
      </c>
      <c r="M3" s="87" t="s">
        <v>66</v>
      </c>
      <c r="N3" s="69" t="s">
        <v>1</v>
      </c>
      <c r="O3" s="595"/>
      <c r="P3" s="596"/>
      <c r="Q3" s="597"/>
      <c r="R3" s="598"/>
      <c r="S3" s="599"/>
      <c r="T3" s="600"/>
      <c r="U3" s="601"/>
      <c r="V3" s="601"/>
      <c r="W3" s="602"/>
      <c r="X3" s="603"/>
      <c r="Y3" s="604"/>
      <c r="Z3" s="603"/>
      <c r="AA3" s="603"/>
      <c r="AB3" s="603"/>
    </row>
    <row r="4" spans="1:28" s="33" customFormat="1" thickBot="1" x14ac:dyDescent="0.25">
      <c r="A4" s="210" t="s">
        <v>110</v>
      </c>
      <c r="B4" s="233" t="s">
        <v>155</v>
      </c>
      <c r="C4" s="233">
        <v>2.9</v>
      </c>
      <c r="D4" s="75" t="s">
        <v>72</v>
      </c>
      <c r="E4" s="207">
        <v>0</v>
      </c>
      <c r="F4" s="234">
        <v>0.26419999999999999</v>
      </c>
      <c r="G4" s="221">
        <f t="shared" ref="G4:G5" si="0">IF(B$3 =1, H4*C4, H4/C4)</f>
        <v>0</v>
      </c>
      <c r="H4" s="119">
        <v>0</v>
      </c>
      <c r="I4" s="122">
        <f t="shared" ref="I4:I5" si="1">IF(B$3 = 1, H4*E4, (H4/C4) *E4)</f>
        <v>0</v>
      </c>
      <c r="J4" s="120">
        <f>IF($B$3 =1, H4*F4, (H4/C4) *F4)</f>
        <v>0</v>
      </c>
      <c r="K4" s="88"/>
      <c r="L4" s="67"/>
      <c r="M4" s="93"/>
      <c r="N4" s="66"/>
      <c r="O4" s="83"/>
      <c r="P4" s="408"/>
      <c r="Q4" s="79"/>
      <c r="R4" s="29"/>
      <c r="S4" s="30"/>
      <c r="T4" s="31"/>
      <c r="U4" s="32" t="s">
        <v>361</v>
      </c>
      <c r="V4" s="592" t="s">
        <v>171</v>
      </c>
      <c r="W4" s="293"/>
      <c r="X4" s="293" t="s">
        <v>224</v>
      </c>
      <c r="Y4" s="589" t="s">
        <v>227</v>
      </c>
      <c r="Z4" s="293"/>
      <c r="AA4" s="293"/>
      <c r="AB4" s="293"/>
    </row>
    <row r="5" spans="1:28" s="33" customFormat="1" ht="15.75" thickTop="1" thickBot="1" x14ac:dyDescent="0.25">
      <c r="A5" s="210" t="s">
        <v>110</v>
      </c>
      <c r="B5" s="233" t="s">
        <v>149</v>
      </c>
      <c r="C5" s="233">
        <v>11</v>
      </c>
      <c r="D5" s="75" t="s">
        <v>70</v>
      </c>
      <c r="E5" s="235">
        <v>0</v>
      </c>
      <c r="F5" s="208">
        <v>1</v>
      </c>
      <c r="G5" s="221">
        <f t="shared" si="0"/>
        <v>0</v>
      </c>
      <c r="H5" s="119">
        <v>0</v>
      </c>
      <c r="I5" s="122">
        <f t="shared" si="1"/>
        <v>0</v>
      </c>
      <c r="J5" s="120">
        <f>IF($B$3 =1, H5*F5, (H5/C5) *F5)</f>
        <v>0</v>
      </c>
      <c r="K5" s="88"/>
      <c r="L5" s="67">
        <f>IF( $B$3 = 1,  SUM(G4:G5), SUM(H4:H5) )</f>
        <v>0</v>
      </c>
      <c r="M5" s="93">
        <f>SUM(I4:I5)</f>
        <v>0</v>
      </c>
      <c r="N5" s="66">
        <f>SUM(J4:J5)</f>
        <v>0</v>
      </c>
      <c r="O5" s="83" t="str">
        <f>+A5</f>
        <v>ADMIRE</v>
      </c>
      <c r="P5" s="144"/>
      <c r="Q5" s="80"/>
      <c r="R5" s="35"/>
      <c r="S5" s="36"/>
      <c r="T5" s="31"/>
      <c r="U5" s="32" t="s">
        <v>361</v>
      </c>
      <c r="V5" s="592" t="s">
        <v>171</v>
      </c>
      <c r="W5" s="293"/>
      <c r="X5" s="293" t="s">
        <v>224</v>
      </c>
      <c r="Y5" s="589" t="s">
        <v>210</v>
      </c>
      <c r="Z5" s="293"/>
      <c r="AA5" s="293"/>
      <c r="AB5" s="293"/>
    </row>
    <row r="6" spans="1:28" s="33" customFormat="1" ht="15.75" thickTop="1" thickBot="1" x14ac:dyDescent="0.25">
      <c r="A6" s="210" t="s">
        <v>111</v>
      </c>
      <c r="B6" s="233" t="s">
        <v>354</v>
      </c>
      <c r="C6" s="75">
        <v>1</v>
      </c>
      <c r="D6" s="75" t="s">
        <v>70</v>
      </c>
      <c r="E6" s="235">
        <v>0</v>
      </c>
      <c r="F6" s="208">
        <v>1</v>
      </c>
      <c r="G6" s="222">
        <v>0</v>
      </c>
      <c r="H6" s="119">
        <v>0</v>
      </c>
      <c r="I6" s="122">
        <f>+E6*H6</f>
        <v>0</v>
      </c>
      <c r="J6" s="121">
        <f>+F6*H6</f>
        <v>0</v>
      </c>
      <c r="K6" s="74"/>
      <c r="L6" s="67">
        <f>+G6</f>
        <v>0</v>
      </c>
      <c r="M6" s="93">
        <f>+I6</f>
        <v>0</v>
      </c>
      <c r="N6" s="66">
        <f>+J6</f>
        <v>0</v>
      </c>
      <c r="O6" s="83" t="str">
        <f>+A6</f>
        <v>ALIETTE</v>
      </c>
      <c r="P6" s="84"/>
      <c r="Q6" s="80"/>
      <c r="R6" s="35"/>
      <c r="S6" s="36"/>
      <c r="T6" s="31"/>
      <c r="U6" s="32" t="s">
        <v>361</v>
      </c>
      <c r="V6" s="592" t="s">
        <v>171</v>
      </c>
      <c r="W6" s="293"/>
      <c r="X6" s="293" t="s">
        <v>49</v>
      </c>
      <c r="Y6" s="589" t="s">
        <v>228</v>
      </c>
      <c r="Z6" s="293"/>
      <c r="AA6" s="293"/>
      <c r="AB6" s="293"/>
    </row>
    <row r="7" spans="1:28" s="33" customFormat="1" ht="15.75" thickTop="1" thickBot="1" x14ac:dyDescent="0.25">
      <c r="A7" s="210" t="s">
        <v>112</v>
      </c>
      <c r="B7" s="233" t="s">
        <v>148</v>
      </c>
      <c r="C7" s="75">
        <v>1</v>
      </c>
      <c r="D7" s="75" t="s">
        <v>70</v>
      </c>
      <c r="E7" s="235">
        <v>0</v>
      </c>
      <c r="F7" s="208">
        <v>1</v>
      </c>
      <c r="G7" s="222">
        <v>0</v>
      </c>
      <c r="H7" s="119">
        <v>0</v>
      </c>
      <c r="I7" s="122">
        <f>+E7*H7</f>
        <v>0</v>
      </c>
      <c r="J7" s="121">
        <f>+F7*H7</f>
        <v>0</v>
      </c>
      <c r="K7" s="74"/>
      <c r="L7" s="67">
        <f>+G7</f>
        <v>0</v>
      </c>
      <c r="M7" s="93">
        <f>+I7</f>
        <v>0</v>
      </c>
      <c r="N7" s="66">
        <f>+J7</f>
        <v>0</v>
      </c>
      <c r="O7" s="83" t="str">
        <f>+A7</f>
        <v>BETAMIX B</v>
      </c>
      <c r="P7" s="84"/>
      <c r="Q7" s="80"/>
      <c r="R7" s="35"/>
      <c r="S7" s="36"/>
      <c r="T7" s="31"/>
      <c r="U7" s="32" t="s">
        <v>361</v>
      </c>
      <c r="V7" s="592" t="s">
        <v>171</v>
      </c>
      <c r="W7" s="293"/>
      <c r="X7" s="293" t="s">
        <v>49</v>
      </c>
      <c r="Y7" s="589" t="s">
        <v>42</v>
      </c>
      <c r="Z7" s="293"/>
      <c r="AA7" s="293"/>
      <c r="AB7" s="293"/>
    </row>
    <row r="8" spans="1:28" ht="16.5" thickTop="1" thickBot="1" x14ac:dyDescent="0.3">
      <c r="A8" s="219" t="s">
        <v>68</v>
      </c>
      <c r="B8" s="75" t="s">
        <v>69</v>
      </c>
      <c r="C8" s="75">
        <v>20</v>
      </c>
      <c r="D8" s="75" t="s">
        <v>70</v>
      </c>
      <c r="E8" s="235">
        <v>0</v>
      </c>
      <c r="F8" s="208">
        <v>1</v>
      </c>
      <c r="G8" s="222">
        <f>IF(B$3 =1, H8*C8, H8/C8)</f>
        <v>0</v>
      </c>
      <c r="H8" s="65">
        <v>0</v>
      </c>
      <c r="I8" s="193">
        <f>IF(B$3 = 1, H8*E8, (H8/C8) *E8)</f>
        <v>0</v>
      </c>
      <c r="J8" s="73">
        <f>IF($B$3 =1, H8*F8, (H8/C8) *F8)</f>
        <v>0</v>
      </c>
      <c r="K8" s="75"/>
      <c r="L8" s="67" t="s">
        <v>126</v>
      </c>
      <c r="M8" s="93" t="s">
        <v>126</v>
      </c>
      <c r="N8" s="66" t="s">
        <v>126</v>
      </c>
      <c r="O8" s="83" t="s">
        <v>126</v>
      </c>
      <c r="P8" s="144"/>
      <c r="Q8" s="81"/>
      <c r="R8" s="38"/>
      <c r="S8" s="39"/>
      <c r="T8" s="40"/>
      <c r="U8" s="32" t="s">
        <v>361</v>
      </c>
      <c r="V8" s="592" t="s">
        <v>171</v>
      </c>
      <c r="W8" s="247"/>
      <c r="X8" s="293" t="s">
        <v>49</v>
      </c>
      <c r="Y8" s="589" t="s">
        <v>33</v>
      </c>
      <c r="Z8" s="247"/>
      <c r="AA8" s="247"/>
      <c r="AB8" s="247"/>
    </row>
    <row r="9" spans="1:28" ht="16.5" thickTop="1" thickBot="1" x14ac:dyDescent="0.3">
      <c r="A9" s="219" t="s">
        <v>68</v>
      </c>
      <c r="B9" s="75" t="s">
        <v>71</v>
      </c>
      <c r="C9" s="75">
        <v>320</v>
      </c>
      <c r="D9" s="75" t="s">
        <v>72</v>
      </c>
      <c r="E9" s="235">
        <v>0</v>
      </c>
      <c r="F9" s="208">
        <v>16</v>
      </c>
      <c r="G9" s="222">
        <f t="shared" ref="G9:G49" si="2">IF(B$3 =1, H9*C9, H9/C9)</f>
        <v>0</v>
      </c>
      <c r="H9" s="65">
        <v>0</v>
      </c>
      <c r="I9" s="92">
        <f t="shared" ref="I9:I49" si="3">IF(B$3 = 1, H9*E9, (H9/C9) *E9)</f>
        <v>0</v>
      </c>
      <c r="J9" s="73">
        <f>IF($B$3 =1, H9*F9, (H9/C9) *F9)</f>
        <v>0</v>
      </c>
      <c r="K9" s="75"/>
      <c r="L9" s="67"/>
      <c r="M9" s="93"/>
      <c r="N9" s="66"/>
      <c r="O9" s="83"/>
      <c r="P9" s="144"/>
      <c r="Q9" s="81"/>
      <c r="R9" s="38"/>
      <c r="S9" s="39"/>
      <c r="T9" s="40"/>
      <c r="U9" s="32" t="s">
        <v>361</v>
      </c>
      <c r="V9" s="592" t="s">
        <v>171</v>
      </c>
      <c r="W9" s="247"/>
      <c r="X9" s="293" t="s">
        <v>49</v>
      </c>
      <c r="Y9" s="589" t="s">
        <v>229</v>
      </c>
      <c r="Z9" s="247"/>
      <c r="AA9" s="247"/>
      <c r="AB9" s="247"/>
    </row>
    <row r="10" spans="1:28" ht="16.5" thickTop="1" thickBot="1" x14ac:dyDescent="0.3">
      <c r="A10" s="219" t="s">
        <v>68</v>
      </c>
      <c r="B10" s="75" t="s">
        <v>73</v>
      </c>
      <c r="C10" s="75">
        <v>1000</v>
      </c>
      <c r="D10" s="75" t="s">
        <v>72</v>
      </c>
      <c r="E10" s="235">
        <v>0</v>
      </c>
      <c r="F10" s="208">
        <v>50</v>
      </c>
      <c r="G10" s="222">
        <f t="shared" si="2"/>
        <v>0</v>
      </c>
      <c r="H10" s="65">
        <v>0</v>
      </c>
      <c r="I10" s="92">
        <f t="shared" si="3"/>
        <v>0</v>
      </c>
      <c r="J10" s="73">
        <f>IF($B$3 =1, H10*F10, (H10/C10) *F10)</f>
        <v>0</v>
      </c>
      <c r="K10" s="75"/>
      <c r="L10" s="67">
        <f>IF( $B$3 = 1,  SUM(G8:G10), SUM(H8:H10) )</f>
        <v>0</v>
      </c>
      <c r="M10" s="93">
        <f>SUM(I8:I10)</f>
        <v>0</v>
      </c>
      <c r="N10" s="66">
        <f>SUM(J8:J10)</f>
        <v>0</v>
      </c>
      <c r="O10" s="83" t="s">
        <v>68</v>
      </c>
      <c r="P10" s="144"/>
      <c r="Q10" s="81"/>
      <c r="R10" s="38"/>
      <c r="S10" s="39"/>
      <c r="T10" s="40"/>
      <c r="U10" s="32" t="s">
        <v>361</v>
      </c>
      <c r="V10" s="592" t="s">
        <v>171</v>
      </c>
      <c r="W10" s="247"/>
      <c r="X10" s="293" t="s">
        <v>49</v>
      </c>
      <c r="Y10" s="589" t="s">
        <v>230</v>
      </c>
      <c r="Z10" s="247"/>
      <c r="AA10" s="247"/>
      <c r="AB10" s="247"/>
    </row>
    <row r="11" spans="1:28" ht="16.5" thickTop="1" thickBot="1" x14ac:dyDescent="0.3">
      <c r="A11" s="75" t="s">
        <v>74</v>
      </c>
      <c r="B11" s="75" t="s">
        <v>4</v>
      </c>
      <c r="C11" s="75">
        <v>20</v>
      </c>
      <c r="D11" s="75" t="s">
        <v>70</v>
      </c>
      <c r="E11" s="207">
        <v>0</v>
      </c>
      <c r="F11" s="75">
        <v>1</v>
      </c>
      <c r="G11" s="222">
        <v>0</v>
      </c>
      <c r="H11" s="65">
        <v>0</v>
      </c>
      <c r="I11" s="92">
        <f>+E11*H11</f>
        <v>0</v>
      </c>
      <c r="J11" s="73">
        <f>+F11*H11</f>
        <v>0</v>
      </c>
      <c r="K11" s="75"/>
      <c r="L11" s="67">
        <f>+G11</f>
        <v>0</v>
      </c>
      <c r="M11" s="93">
        <f>+I11</f>
        <v>0</v>
      </c>
      <c r="N11" s="66">
        <f>+J11</f>
        <v>0</v>
      </c>
      <c r="O11" s="83" t="str">
        <f>+A11</f>
        <v>CONCEPT</v>
      </c>
      <c r="P11" s="144"/>
      <c r="Q11" s="81"/>
      <c r="R11" s="38"/>
      <c r="S11" s="39"/>
      <c r="T11" s="40"/>
      <c r="U11" s="32" t="s">
        <v>361</v>
      </c>
      <c r="V11" s="592" t="s">
        <v>171</v>
      </c>
      <c r="W11" s="247"/>
      <c r="X11" s="293" t="s">
        <v>224</v>
      </c>
      <c r="Y11" s="589" t="s">
        <v>231</v>
      </c>
      <c r="Z11" s="247"/>
      <c r="AA11" s="247"/>
      <c r="AB11" s="247"/>
    </row>
    <row r="12" spans="1:28" ht="16.5" thickTop="1" thickBot="1" x14ac:dyDescent="0.3">
      <c r="A12" s="219" t="s">
        <v>75</v>
      </c>
      <c r="B12" s="75" t="s">
        <v>16</v>
      </c>
      <c r="C12" s="75">
        <v>20</v>
      </c>
      <c r="D12" s="75" t="s">
        <v>70</v>
      </c>
      <c r="E12" s="207">
        <v>0</v>
      </c>
      <c r="F12" s="208">
        <v>1</v>
      </c>
      <c r="G12" s="222">
        <f t="shared" si="2"/>
        <v>0</v>
      </c>
      <c r="H12" s="65">
        <v>0</v>
      </c>
      <c r="I12" s="193">
        <f t="shared" si="3"/>
        <v>0</v>
      </c>
      <c r="J12" s="73">
        <f t="shared" ref="J12:J49" si="4">IF($B$3 =1, H12*F12, (H12/C12) *F12)</f>
        <v>0</v>
      </c>
      <c r="K12" s="75"/>
      <c r="L12" s="67"/>
      <c r="M12" s="93"/>
      <c r="N12" s="66"/>
      <c r="O12" s="83"/>
      <c r="P12" s="144"/>
      <c r="Q12" s="81"/>
      <c r="R12" s="38"/>
      <c r="S12" s="39"/>
      <c r="T12" s="40"/>
      <c r="U12" s="32" t="s">
        <v>361</v>
      </c>
      <c r="V12" s="592" t="s">
        <v>171</v>
      </c>
      <c r="W12" s="247"/>
      <c r="X12" s="293" t="s">
        <v>50</v>
      </c>
      <c r="Y12" s="589" t="s">
        <v>34</v>
      </c>
      <c r="Z12" s="247"/>
      <c r="AA12" s="247"/>
      <c r="AB12" s="247"/>
    </row>
    <row r="13" spans="1:28" ht="16.5" thickTop="1" thickBot="1" x14ac:dyDescent="0.3">
      <c r="A13" s="219" t="s">
        <v>75</v>
      </c>
      <c r="B13" s="75" t="s">
        <v>5</v>
      </c>
      <c r="C13" s="75">
        <v>320</v>
      </c>
      <c r="D13" s="75" t="s">
        <v>72</v>
      </c>
      <c r="E13" s="207">
        <v>0</v>
      </c>
      <c r="F13" s="208">
        <v>16</v>
      </c>
      <c r="G13" s="222">
        <f t="shared" si="2"/>
        <v>0</v>
      </c>
      <c r="H13" s="65">
        <v>0</v>
      </c>
      <c r="I13" s="92">
        <f t="shared" si="3"/>
        <v>0</v>
      </c>
      <c r="J13" s="73">
        <f t="shared" si="4"/>
        <v>0</v>
      </c>
      <c r="K13" s="75"/>
      <c r="L13" s="67">
        <f>IF( $B$3 = 1,  SUM(G12:G13), SUM(H12:H13) )</f>
        <v>0</v>
      </c>
      <c r="M13" s="93">
        <f>SUM(I12:I13)</f>
        <v>0</v>
      </c>
      <c r="N13" s="66">
        <f>SUM(J12:J13)</f>
        <v>0</v>
      </c>
      <c r="O13" s="83" t="str">
        <f>+A13</f>
        <v>DELARO</v>
      </c>
      <c r="P13" s="144"/>
      <c r="Q13" s="81"/>
      <c r="R13" s="38"/>
      <c r="S13" s="39"/>
      <c r="T13" s="40"/>
      <c r="U13" s="32" t="s">
        <v>361</v>
      </c>
      <c r="V13" s="592" t="s">
        <v>171</v>
      </c>
      <c r="W13" s="247"/>
      <c r="X13" s="293" t="s">
        <v>50</v>
      </c>
      <c r="Y13" s="589" t="s">
        <v>232</v>
      </c>
      <c r="Z13" s="247"/>
      <c r="AA13" s="247"/>
      <c r="AB13" s="247"/>
    </row>
    <row r="14" spans="1:28" ht="16.5" thickTop="1" thickBot="1" x14ac:dyDescent="0.3">
      <c r="A14" s="75" t="s">
        <v>113</v>
      </c>
      <c r="B14" s="75" t="s">
        <v>167</v>
      </c>
      <c r="C14" s="75">
        <v>22</v>
      </c>
      <c r="D14" s="75" t="s">
        <v>70</v>
      </c>
      <c r="E14" s="207">
        <v>0</v>
      </c>
      <c r="F14" s="208">
        <v>1</v>
      </c>
      <c r="G14" s="222">
        <f t="shared" si="2"/>
        <v>0</v>
      </c>
      <c r="H14" s="65">
        <v>0</v>
      </c>
      <c r="I14" s="92">
        <f t="shared" si="3"/>
        <v>0</v>
      </c>
      <c r="J14" s="73">
        <f t="shared" si="4"/>
        <v>0</v>
      </c>
      <c r="K14" s="75"/>
      <c r="L14" s="67">
        <f>IF( $B$3 = 1,  G14,H14 )</f>
        <v>0</v>
      </c>
      <c r="M14" s="93">
        <f t="shared" ref="M14:N16" si="5">+I14</f>
        <v>0</v>
      </c>
      <c r="N14" s="66">
        <f t="shared" si="5"/>
        <v>0</v>
      </c>
      <c r="O14" s="83" t="str">
        <f>+A14</f>
        <v>EMESTO SILVER</v>
      </c>
      <c r="P14" s="144"/>
      <c r="Q14" s="81"/>
      <c r="R14" s="38"/>
      <c r="S14" s="39"/>
      <c r="T14" s="40"/>
      <c r="U14" s="32" t="s">
        <v>361</v>
      </c>
      <c r="V14" s="592" t="s">
        <v>171</v>
      </c>
      <c r="W14" s="247"/>
      <c r="X14" s="293" t="s">
        <v>51</v>
      </c>
      <c r="Y14" s="589" t="s">
        <v>233</v>
      </c>
      <c r="Z14" s="247"/>
      <c r="AA14" s="247"/>
      <c r="AB14" s="247"/>
    </row>
    <row r="15" spans="1:28" ht="16.5" thickTop="1" thickBot="1" x14ac:dyDescent="0.3">
      <c r="A15" s="219" t="s">
        <v>76</v>
      </c>
      <c r="B15" s="75" t="s">
        <v>6</v>
      </c>
      <c r="C15" s="75">
        <v>1696</v>
      </c>
      <c r="D15" s="75" t="s">
        <v>70</v>
      </c>
      <c r="E15" s="207">
        <v>0</v>
      </c>
      <c r="F15" s="75">
        <v>1</v>
      </c>
      <c r="G15" s="222">
        <f t="shared" si="2"/>
        <v>0</v>
      </c>
      <c r="H15" s="65">
        <v>0</v>
      </c>
      <c r="I15" s="92">
        <f t="shared" si="3"/>
        <v>0</v>
      </c>
      <c r="J15" s="73">
        <f t="shared" si="4"/>
        <v>0</v>
      </c>
      <c r="K15" s="75"/>
      <c r="L15" s="67">
        <f>IF( $B$3 = 1,  G15,H15 )</f>
        <v>0</v>
      </c>
      <c r="M15" s="93">
        <f t="shared" si="5"/>
        <v>0</v>
      </c>
      <c r="N15" s="66">
        <f t="shared" si="5"/>
        <v>0</v>
      </c>
      <c r="O15" s="83" t="str">
        <f>+A15</f>
        <v>EVERGOL ENERGY</v>
      </c>
      <c r="P15" s="144"/>
      <c r="Q15" s="81"/>
      <c r="R15" s="38"/>
      <c r="S15" s="39"/>
      <c r="T15" s="40"/>
      <c r="U15" s="32" t="s">
        <v>361</v>
      </c>
      <c r="V15" s="592" t="s">
        <v>171</v>
      </c>
      <c r="W15" s="247"/>
      <c r="X15" s="293" t="s">
        <v>51</v>
      </c>
      <c r="Y15" s="589" t="s">
        <v>35</v>
      </c>
      <c r="Z15" s="247"/>
      <c r="AA15" s="247"/>
      <c r="AB15" s="247"/>
    </row>
    <row r="16" spans="1:28" ht="16.5" thickTop="1" thickBot="1" x14ac:dyDescent="0.3">
      <c r="A16" s="219" t="s">
        <v>77</v>
      </c>
      <c r="B16" s="75" t="s">
        <v>17</v>
      </c>
      <c r="C16" s="75">
        <v>40</v>
      </c>
      <c r="D16" s="75" t="s">
        <v>70</v>
      </c>
      <c r="E16" s="207">
        <v>0</v>
      </c>
      <c r="F16" s="208">
        <v>1</v>
      </c>
      <c r="G16" s="222">
        <f t="shared" si="2"/>
        <v>0</v>
      </c>
      <c r="H16" s="65">
        <v>0</v>
      </c>
      <c r="I16" s="92">
        <f t="shared" si="3"/>
        <v>0</v>
      </c>
      <c r="J16" s="73">
        <f t="shared" si="4"/>
        <v>0</v>
      </c>
      <c r="K16" s="75"/>
      <c r="L16" s="67">
        <f>IF( $B$3 = 1,  G16,H16 )</f>
        <v>0</v>
      </c>
      <c r="M16" s="93">
        <f t="shared" si="5"/>
        <v>0</v>
      </c>
      <c r="N16" s="66">
        <f t="shared" si="5"/>
        <v>0</v>
      </c>
      <c r="O16" s="86" t="str">
        <f>+A16</f>
        <v>FOLICUR EW</v>
      </c>
      <c r="P16" s="144"/>
      <c r="Q16" s="81"/>
      <c r="R16" s="38"/>
      <c r="S16" s="39"/>
      <c r="T16" s="40"/>
      <c r="U16" s="32" t="s">
        <v>361</v>
      </c>
      <c r="V16" s="592" t="s">
        <v>171</v>
      </c>
      <c r="W16" s="247"/>
      <c r="X16" s="293" t="s">
        <v>50</v>
      </c>
      <c r="Y16" s="589" t="s">
        <v>36</v>
      </c>
      <c r="Z16" s="247"/>
      <c r="AA16" s="247"/>
      <c r="AB16" s="247"/>
    </row>
    <row r="17" spans="1:28" ht="16.5" thickTop="1" thickBot="1" x14ac:dyDescent="0.3">
      <c r="A17" s="219" t="s">
        <v>78</v>
      </c>
      <c r="B17" s="75" t="s">
        <v>7</v>
      </c>
      <c r="C17" s="75">
        <v>20</v>
      </c>
      <c r="D17" s="75" t="s">
        <v>70</v>
      </c>
      <c r="E17" s="207">
        <v>0</v>
      </c>
      <c r="F17" s="208">
        <v>1</v>
      </c>
      <c r="G17" s="222">
        <f t="shared" si="2"/>
        <v>0</v>
      </c>
      <c r="H17" s="65">
        <v>0</v>
      </c>
      <c r="I17" s="92">
        <f t="shared" si="3"/>
        <v>0</v>
      </c>
      <c r="J17" s="73">
        <f t="shared" si="4"/>
        <v>0</v>
      </c>
      <c r="K17" s="75"/>
      <c r="L17" s="67"/>
      <c r="M17" s="93"/>
      <c r="N17" s="66"/>
      <c r="O17" s="83"/>
      <c r="P17" s="144"/>
      <c r="Q17" s="81"/>
      <c r="R17" s="38"/>
      <c r="S17" s="39"/>
      <c r="T17" s="40"/>
      <c r="U17" s="32" t="s">
        <v>361</v>
      </c>
      <c r="V17" s="592" t="s">
        <v>171</v>
      </c>
      <c r="W17" s="247"/>
      <c r="X17" s="293" t="s">
        <v>49</v>
      </c>
      <c r="Y17" s="589" t="s">
        <v>37</v>
      </c>
      <c r="Z17" s="247"/>
      <c r="AA17" s="247"/>
      <c r="AB17" s="247"/>
    </row>
    <row r="18" spans="1:28" ht="16.5" thickTop="1" thickBot="1" x14ac:dyDescent="0.3">
      <c r="A18" s="219" t="s">
        <v>78</v>
      </c>
      <c r="B18" s="75" t="s">
        <v>8</v>
      </c>
      <c r="C18" s="75">
        <v>320</v>
      </c>
      <c r="D18" s="75" t="s">
        <v>72</v>
      </c>
      <c r="E18" s="207">
        <v>0</v>
      </c>
      <c r="F18" s="208">
        <v>16</v>
      </c>
      <c r="G18" s="222">
        <f t="shared" si="2"/>
        <v>0</v>
      </c>
      <c r="H18" s="65">
        <v>0</v>
      </c>
      <c r="I18" s="92">
        <f t="shared" si="3"/>
        <v>0</v>
      </c>
      <c r="J18" s="73">
        <f t="shared" si="4"/>
        <v>0</v>
      </c>
      <c r="K18" s="75"/>
      <c r="L18" s="67"/>
      <c r="M18" s="93"/>
      <c r="N18" s="66"/>
      <c r="O18" s="83"/>
      <c r="P18" s="144"/>
      <c r="Q18" s="81"/>
      <c r="R18" s="38"/>
      <c r="S18" s="39"/>
      <c r="T18" s="40"/>
      <c r="U18" s="32" t="s">
        <v>361</v>
      </c>
      <c r="V18" s="592" t="s">
        <v>171</v>
      </c>
      <c r="W18" s="247"/>
      <c r="X18" s="293" t="s">
        <v>49</v>
      </c>
      <c r="Y18" s="589" t="s">
        <v>234</v>
      </c>
      <c r="Z18" s="247"/>
      <c r="AA18" s="247"/>
      <c r="AB18" s="247"/>
    </row>
    <row r="19" spans="1:28" ht="16.5" thickTop="1" thickBot="1" x14ac:dyDescent="0.3">
      <c r="A19" s="219" t="s">
        <v>78</v>
      </c>
      <c r="B19" s="75" t="s">
        <v>9</v>
      </c>
      <c r="C19" s="75">
        <v>1000</v>
      </c>
      <c r="D19" s="75" t="s">
        <v>72</v>
      </c>
      <c r="E19" s="207">
        <v>0</v>
      </c>
      <c r="F19" s="208">
        <v>50</v>
      </c>
      <c r="G19" s="222">
        <f t="shared" si="2"/>
        <v>0</v>
      </c>
      <c r="H19" s="65">
        <v>0</v>
      </c>
      <c r="I19" s="92">
        <f t="shared" si="3"/>
        <v>0</v>
      </c>
      <c r="J19" s="73">
        <f t="shared" si="4"/>
        <v>0</v>
      </c>
      <c r="K19" s="76"/>
      <c r="L19" s="67">
        <f>IF( $B$3 = 1,  SUM(G17:G19), SUM(H17:H19) )</f>
        <v>0</v>
      </c>
      <c r="M19" s="93">
        <f>SUM(I17:I19)</f>
        <v>0</v>
      </c>
      <c r="N19" s="66">
        <f>SUM(J17:J19)</f>
        <v>0</v>
      </c>
      <c r="O19" s="83" t="str">
        <f>+A19</f>
        <v>INFINITY</v>
      </c>
      <c r="P19" s="144"/>
      <c r="Q19" s="81"/>
      <c r="R19" s="38"/>
      <c r="S19" s="39"/>
      <c r="T19" s="40"/>
      <c r="U19" s="32" t="s">
        <v>361</v>
      </c>
      <c r="V19" s="592" t="s">
        <v>171</v>
      </c>
      <c r="W19" s="247"/>
      <c r="X19" s="293" t="s">
        <v>49</v>
      </c>
      <c r="Y19" s="589" t="s">
        <v>235</v>
      </c>
      <c r="Z19" s="247"/>
      <c r="AA19" s="247"/>
      <c r="AB19" s="247"/>
    </row>
    <row r="20" spans="1:28" ht="16.5" thickTop="1" thickBot="1" x14ac:dyDescent="0.3">
      <c r="A20" s="219" t="s">
        <v>79</v>
      </c>
      <c r="B20" s="75" t="s">
        <v>18</v>
      </c>
      <c r="C20" s="75">
        <v>40</v>
      </c>
      <c r="D20" s="75" t="s">
        <v>70</v>
      </c>
      <c r="E20" s="207">
        <v>0</v>
      </c>
      <c r="F20" s="208">
        <v>2</v>
      </c>
      <c r="G20" s="222">
        <f t="shared" si="2"/>
        <v>0</v>
      </c>
      <c r="H20" s="65">
        <v>0</v>
      </c>
      <c r="I20" s="92">
        <f t="shared" si="3"/>
        <v>0</v>
      </c>
      <c r="J20" s="73">
        <f t="shared" si="4"/>
        <v>0</v>
      </c>
      <c r="K20" s="77"/>
      <c r="L20" s="67"/>
      <c r="M20" s="93"/>
      <c r="N20" s="66"/>
      <c r="O20" s="83"/>
      <c r="P20" s="144"/>
      <c r="Q20" s="81"/>
      <c r="R20" s="38"/>
      <c r="S20" s="39"/>
      <c r="T20" s="40"/>
      <c r="U20" s="32" t="s">
        <v>361</v>
      </c>
      <c r="V20" s="592" t="s">
        <v>171</v>
      </c>
      <c r="W20" s="247"/>
      <c r="X20" s="293" t="s">
        <v>49</v>
      </c>
      <c r="Y20" s="589" t="s">
        <v>236</v>
      </c>
      <c r="Z20" s="247"/>
      <c r="AA20" s="247"/>
      <c r="AB20" s="247"/>
    </row>
    <row r="21" spans="1:28" s="33" customFormat="1" ht="15.75" thickTop="1" thickBot="1" x14ac:dyDescent="0.25">
      <c r="A21" s="210" t="s">
        <v>79</v>
      </c>
      <c r="B21" s="75" t="s">
        <v>279</v>
      </c>
      <c r="C21" s="75">
        <v>20</v>
      </c>
      <c r="D21" s="75" t="s">
        <v>70</v>
      </c>
      <c r="E21" s="207">
        <v>0</v>
      </c>
      <c r="F21" s="208">
        <v>1</v>
      </c>
      <c r="G21" s="222">
        <f t="shared" si="2"/>
        <v>0</v>
      </c>
      <c r="H21" s="65">
        <v>0</v>
      </c>
      <c r="I21" s="92">
        <f t="shared" si="3"/>
        <v>0</v>
      </c>
      <c r="J21" s="73">
        <f t="shared" si="4"/>
        <v>0</v>
      </c>
      <c r="K21" s="77"/>
      <c r="L21" s="67"/>
      <c r="M21" s="93"/>
      <c r="N21" s="66"/>
      <c r="O21" s="83"/>
      <c r="P21" s="144"/>
      <c r="Q21" s="82"/>
      <c r="R21" s="35"/>
      <c r="S21" s="36"/>
      <c r="T21" s="31"/>
      <c r="U21" s="32" t="s">
        <v>361</v>
      </c>
      <c r="V21" s="592" t="s">
        <v>171</v>
      </c>
      <c r="W21" s="293"/>
      <c r="X21" s="293" t="s">
        <v>49</v>
      </c>
      <c r="Y21" s="589" t="s">
        <v>36</v>
      </c>
      <c r="Z21" s="293" t="s">
        <v>275</v>
      </c>
      <c r="AA21" s="293"/>
      <c r="AB21" s="293"/>
    </row>
    <row r="22" spans="1:28" s="33" customFormat="1" ht="15.75" thickTop="1" thickBot="1" x14ac:dyDescent="0.25">
      <c r="A22" s="210" t="s">
        <v>79</v>
      </c>
      <c r="B22" s="233" t="s">
        <v>278</v>
      </c>
      <c r="C22" s="75">
        <v>1000</v>
      </c>
      <c r="D22" s="75" t="s">
        <v>72</v>
      </c>
      <c r="E22" s="207">
        <v>0</v>
      </c>
      <c r="F22" s="208">
        <v>50</v>
      </c>
      <c r="G22" s="222">
        <f t="shared" si="2"/>
        <v>0</v>
      </c>
      <c r="H22" s="65">
        <v>0</v>
      </c>
      <c r="I22" s="92">
        <f t="shared" si="3"/>
        <v>0</v>
      </c>
      <c r="J22" s="73">
        <f t="shared" si="4"/>
        <v>0</v>
      </c>
      <c r="K22" s="77"/>
      <c r="L22" s="67"/>
      <c r="M22" s="93"/>
      <c r="N22" s="66"/>
      <c r="O22" s="83"/>
      <c r="P22" s="144"/>
      <c r="Q22" s="82"/>
      <c r="R22" s="35"/>
      <c r="S22" s="36"/>
      <c r="T22" s="31"/>
      <c r="U22" s="32" t="s">
        <v>361</v>
      </c>
      <c r="V22" s="592" t="s">
        <v>171</v>
      </c>
      <c r="W22" s="293"/>
      <c r="X22" s="293" t="s">
        <v>49</v>
      </c>
      <c r="Y22" s="589" t="s">
        <v>237</v>
      </c>
      <c r="Z22" s="293" t="s">
        <v>276</v>
      </c>
      <c r="AA22" s="293"/>
      <c r="AB22" s="293"/>
    </row>
    <row r="23" spans="1:28" s="33" customFormat="1" ht="15.75" thickTop="1" thickBot="1" x14ac:dyDescent="0.25">
      <c r="A23" s="210" t="s">
        <v>79</v>
      </c>
      <c r="B23" s="233" t="s">
        <v>280</v>
      </c>
      <c r="C23" s="75">
        <v>320</v>
      </c>
      <c r="D23" s="75" t="s">
        <v>72</v>
      </c>
      <c r="E23" s="207">
        <v>0</v>
      </c>
      <c r="F23" s="208">
        <v>16</v>
      </c>
      <c r="G23" s="222">
        <f t="shared" si="2"/>
        <v>0</v>
      </c>
      <c r="H23" s="65">
        <v>0</v>
      </c>
      <c r="I23" s="92">
        <f t="shared" si="3"/>
        <v>0</v>
      </c>
      <c r="J23" s="73">
        <f t="shared" si="4"/>
        <v>0</v>
      </c>
      <c r="K23" s="77"/>
      <c r="L23" s="67">
        <f>IF( $B$3 = 1,  SUM(G20:G23), SUM(H20:H23) )</f>
        <v>0</v>
      </c>
      <c r="M23" s="93">
        <f>SUM(I20:I23)</f>
        <v>0</v>
      </c>
      <c r="N23" s="66">
        <f>SUM(J20:J23)</f>
        <v>0</v>
      </c>
      <c r="O23" s="83" t="str">
        <f>+A23</f>
        <v>INFINITY FX</v>
      </c>
      <c r="P23" s="144"/>
      <c r="Q23" s="82"/>
      <c r="R23" s="35"/>
      <c r="S23" s="36"/>
      <c r="T23" s="31"/>
      <c r="U23" s="32" t="s">
        <v>361</v>
      </c>
      <c r="V23" s="592" t="s">
        <v>171</v>
      </c>
      <c r="W23" s="293"/>
      <c r="X23" s="293" t="s">
        <v>49</v>
      </c>
      <c r="Y23" s="589" t="s">
        <v>238</v>
      </c>
      <c r="Z23" s="293" t="s">
        <v>277</v>
      </c>
      <c r="AA23" s="293"/>
      <c r="AB23" s="293"/>
    </row>
    <row r="24" spans="1:28" s="33" customFormat="1" ht="15.75" thickTop="1" thickBot="1" x14ac:dyDescent="0.25">
      <c r="A24" s="210" t="s">
        <v>117</v>
      </c>
      <c r="B24" s="233" t="s">
        <v>266</v>
      </c>
      <c r="C24" s="233">
        <v>8</v>
      </c>
      <c r="D24" s="75" t="s">
        <v>70</v>
      </c>
      <c r="E24" s="207">
        <v>0</v>
      </c>
      <c r="F24" s="208">
        <v>1</v>
      </c>
      <c r="G24" s="222">
        <f t="shared" si="2"/>
        <v>0</v>
      </c>
      <c r="H24" s="65">
        <v>0</v>
      </c>
      <c r="I24" s="92">
        <f t="shared" si="3"/>
        <v>0</v>
      </c>
      <c r="J24" s="73">
        <f t="shared" si="4"/>
        <v>0</v>
      </c>
      <c r="K24" s="77"/>
      <c r="L24" s="67">
        <f>IF( $B$3 = 1,  SUM(G24:G25), SUM(H24:H25) )</f>
        <v>0</v>
      </c>
      <c r="M24" s="93">
        <f>+I24+I25</f>
        <v>0</v>
      </c>
      <c r="N24" s="66">
        <f>+J24+J25</f>
        <v>0</v>
      </c>
      <c r="O24" s="78" t="str">
        <f>+A25</f>
        <v>LUNA TRANQUILITY</v>
      </c>
      <c r="P24" s="144"/>
      <c r="Q24" s="82"/>
      <c r="R24" s="35"/>
      <c r="S24" s="36"/>
      <c r="T24" s="31"/>
      <c r="U24" s="32" t="s">
        <v>361</v>
      </c>
      <c r="V24" s="592" t="s">
        <v>171</v>
      </c>
      <c r="W24" s="293"/>
      <c r="X24" s="293" t="s">
        <v>50</v>
      </c>
      <c r="Y24" s="589" t="s">
        <v>132</v>
      </c>
      <c r="Z24" s="293"/>
      <c r="AA24" s="293"/>
      <c r="AB24" s="293"/>
    </row>
    <row r="25" spans="1:28" s="33" customFormat="1" ht="15.75" thickTop="1" thickBot="1" x14ac:dyDescent="0.25">
      <c r="A25" s="210" t="s">
        <v>117</v>
      </c>
      <c r="B25" s="233" t="s">
        <v>267</v>
      </c>
      <c r="C25" s="233">
        <v>20</v>
      </c>
      <c r="D25" s="75" t="s">
        <v>72</v>
      </c>
      <c r="E25" s="207">
        <v>0</v>
      </c>
      <c r="F25" s="208">
        <v>2.4300000000000002</v>
      </c>
      <c r="G25" s="222">
        <f t="shared" si="2"/>
        <v>0</v>
      </c>
      <c r="H25" s="65">
        <v>0</v>
      </c>
      <c r="I25" s="92">
        <f t="shared" si="3"/>
        <v>0</v>
      </c>
      <c r="J25" s="73">
        <f t="shared" si="4"/>
        <v>0</v>
      </c>
      <c r="K25" s="78"/>
      <c r="P25" s="144"/>
      <c r="Q25" s="82"/>
      <c r="R25" s="35"/>
      <c r="S25" s="36"/>
      <c r="T25" s="31"/>
      <c r="U25" s="32" t="s">
        <v>361</v>
      </c>
      <c r="V25" s="592" t="s">
        <v>171</v>
      </c>
      <c r="W25" s="293"/>
      <c r="X25" s="293" t="s">
        <v>50</v>
      </c>
      <c r="Y25" s="589" t="s">
        <v>139</v>
      </c>
      <c r="Z25" s="293"/>
      <c r="AA25" s="293"/>
      <c r="AB25" s="293"/>
    </row>
    <row r="26" spans="1:28" ht="16.5" thickTop="1" thickBot="1" x14ac:dyDescent="0.3">
      <c r="A26" s="219" t="s">
        <v>80</v>
      </c>
      <c r="B26" s="75" t="s">
        <v>81</v>
      </c>
      <c r="C26" s="75">
        <v>40</v>
      </c>
      <c r="D26" s="75" t="s">
        <v>70</v>
      </c>
      <c r="E26" s="207">
        <v>0</v>
      </c>
      <c r="F26" s="208">
        <v>1</v>
      </c>
      <c r="G26" s="222">
        <f t="shared" si="2"/>
        <v>0</v>
      </c>
      <c r="H26" s="65">
        <v>0</v>
      </c>
      <c r="I26" s="92">
        <f t="shared" si="3"/>
        <v>0</v>
      </c>
      <c r="J26" s="73">
        <f t="shared" si="4"/>
        <v>0</v>
      </c>
      <c r="K26" s="77"/>
      <c r="L26" s="67">
        <f>IF( $B$3 = 1,  G26,H26 )</f>
        <v>0</v>
      </c>
      <c r="M26" s="93">
        <f>+I26</f>
        <v>0</v>
      </c>
      <c r="N26" s="66">
        <f>+J26</f>
        <v>0</v>
      </c>
      <c r="O26" s="83" t="str">
        <f>+A26</f>
        <v>LUXXUR</v>
      </c>
      <c r="P26" s="144"/>
      <c r="Q26" s="81"/>
      <c r="R26" s="38"/>
      <c r="S26" s="39"/>
      <c r="T26" s="40"/>
      <c r="U26" s="32" t="s">
        <v>361</v>
      </c>
      <c r="V26" s="592" t="s">
        <v>171</v>
      </c>
      <c r="W26" s="247"/>
      <c r="X26" s="293" t="s">
        <v>49</v>
      </c>
      <c r="Y26" s="589" t="s">
        <v>239</v>
      </c>
      <c r="Z26" s="247"/>
      <c r="AA26" s="247"/>
      <c r="AB26" s="247"/>
    </row>
    <row r="27" spans="1:28" s="33" customFormat="1" ht="15.75" thickTop="1" thickBot="1" x14ac:dyDescent="0.25">
      <c r="A27" s="210" t="s">
        <v>114</v>
      </c>
      <c r="B27" s="75" t="s">
        <v>268</v>
      </c>
      <c r="C27" s="75">
        <v>11</v>
      </c>
      <c r="D27" s="75" t="s">
        <v>72</v>
      </c>
      <c r="E27" s="207">
        <v>0</v>
      </c>
      <c r="F27" s="208">
        <v>0.5</v>
      </c>
      <c r="G27" s="222">
        <f t="shared" si="2"/>
        <v>0</v>
      </c>
      <c r="H27" s="65">
        <v>0</v>
      </c>
      <c r="I27" s="92">
        <f t="shared" si="3"/>
        <v>0</v>
      </c>
      <c r="J27" s="73">
        <f t="shared" si="4"/>
        <v>0</v>
      </c>
      <c r="K27" s="77"/>
      <c r="L27" s="67"/>
      <c r="M27" s="93"/>
      <c r="N27" s="66"/>
      <c r="O27" s="83"/>
      <c r="P27" s="84"/>
      <c r="Q27" s="82"/>
      <c r="R27" s="35"/>
      <c r="S27" s="36"/>
      <c r="T27" s="31" t="s">
        <v>123</v>
      </c>
      <c r="U27" s="32" t="s">
        <v>361</v>
      </c>
      <c r="V27" s="592" t="s">
        <v>171</v>
      </c>
      <c r="W27" s="293"/>
      <c r="X27" s="293" t="s">
        <v>50</v>
      </c>
      <c r="Y27" s="589" t="s">
        <v>227</v>
      </c>
      <c r="Z27" s="293"/>
      <c r="AA27" s="293"/>
      <c r="AB27" s="293"/>
    </row>
    <row r="28" spans="1:28" s="33" customFormat="1" ht="15.75" thickTop="1" thickBot="1" x14ac:dyDescent="0.25">
      <c r="A28" s="210" t="s">
        <v>114</v>
      </c>
      <c r="B28" s="233" t="s">
        <v>269</v>
      </c>
      <c r="C28" s="233">
        <v>22</v>
      </c>
      <c r="D28" s="75" t="s">
        <v>70</v>
      </c>
      <c r="E28" s="207">
        <v>0</v>
      </c>
      <c r="F28" s="208">
        <v>1</v>
      </c>
      <c r="G28" s="222">
        <f t="shared" si="2"/>
        <v>0</v>
      </c>
      <c r="H28" s="65">
        <v>0</v>
      </c>
      <c r="I28" s="92">
        <f t="shared" si="3"/>
        <v>0</v>
      </c>
      <c r="J28" s="73">
        <f t="shared" si="4"/>
        <v>0</v>
      </c>
      <c r="K28" s="77"/>
      <c r="L28" s="67">
        <f>IF( $B$3 = 1,  SUM(G27:G28), SUM(H27:H28) )</f>
        <v>0</v>
      </c>
      <c r="M28" s="93">
        <f>+I27+I28</f>
        <v>0</v>
      </c>
      <c r="N28" s="66">
        <f>+J27+J28</f>
        <v>0</v>
      </c>
      <c r="O28" s="83" t="str">
        <f>+A28</f>
        <v>MOVENTO</v>
      </c>
      <c r="P28" s="144"/>
      <c r="Q28" s="82"/>
      <c r="R28" s="35"/>
      <c r="S28" s="36"/>
      <c r="T28" s="31"/>
      <c r="U28" s="32" t="s">
        <v>361</v>
      </c>
      <c r="V28" s="592" t="s">
        <v>171</v>
      </c>
      <c r="W28" s="293"/>
      <c r="X28" s="293" t="s">
        <v>50</v>
      </c>
      <c r="Y28" s="589" t="s">
        <v>132</v>
      </c>
      <c r="Z28" s="293"/>
      <c r="AA28" s="293"/>
      <c r="AB28" s="293"/>
    </row>
    <row r="29" spans="1:28" s="33" customFormat="1" ht="15.75" thickTop="1" thickBot="1" x14ac:dyDescent="0.25">
      <c r="A29" s="210" t="s">
        <v>122</v>
      </c>
      <c r="B29" s="233" t="s">
        <v>150</v>
      </c>
      <c r="C29" s="75">
        <v>1</v>
      </c>
      <c r="D29" s="75" t="s">
        <v>70</v>
      </c>
      <c r="E29" s="207">
        <v>0</v>
      </c>
      <c r="F29" s="208">
        <v>1</v>
      </c>
      <c r="G29" s="222">
        <v>0</v>
      </c>
      <c r="H29" s="65">
        <v>0</v>
      </c>
      <c r="I29" s="92">
        <f>+E29*H29</f>
        <v>0</v>
      </c>
      <c r="J29" s="66">
        <f>+F29*H29</f>
        <v>0</v>
      </c>
      <c r="K29" s="77"/>
      <c r="L29" s="67">
        <f>+G29</f>
        <v>0</v>
      </c>
      <c r="M29" s="93">
        <f>+I29</f>
        <v>0</v>
      </c>
      <c r="N29" s="66">
        <f>+J29</f>
        <v>0</v>
      </c>
      <c r="O29" s="83"/>
      <c r="P29" s="85"/>
      <c r="Q29" s="82"/>
      <c r="R29" s="35"/>
      <c r="S29" s="36"/>
      <c r="T29" s="31"/>
      <c r="U29" s="32" t="s">
        <v>361</v>
      </c>
      <c r="V29" s="592" t="s">
        <v>171</v>
      </c>
      <c r="W29" s="293"/>
      <c r="X29" s="293" t="s">
        <v>49</v>
      </c>
      <c r="Y29" s="589" t="s">
        <v>42</v>
      </c>
      <c r="Z29" s="293"/>
      <c r="AA29" s="293"/>
      <c r="AB29" s="293"/>
    </row>
    <row r="30" spans="1:28" ht="16.5" thickTop="1" thickBot="1" x14ac:dyDescent="0.3">
      <c r="A30" s="219" t="s">
        <v>82</v>
      </c>
      <c r="B30" s="75" t="s">
        <v>10</v>
      </c>
      <c r="C30" s="75">
        <v>80</v>
      </c>
      <c r="D30" s="75" t="s">
        <v>70</v>
      </c>
      <c r="E30" s="207">
        <v>0</v>
      </c>
      <c r="F30" s="208">
        <v>1</v>
      </c>
      <c r="G30" s="222">
        <f t="shared" si="2"/>
        <v>0</v>
      </c>
      <c r="H30" s="65">
        <v>0</v>
      </c>
      <c r="I30" s="193">
        <f t="shared" si="3"/>
        <v>0</v>
      </c>
      <c r="J30" s="73">
        <f t="shared" ref="J30" si="6">IF($B$3 =1, H30*F30, (H30/C30) *F30)</f>
        <v>0</v>
      </c>
      <c r="K30" s="77"/>
      <c r="L30" s="67"/>
      <c r="M30" s="93"/>
      <c r="N30" s="66"/>
      <c r="O30" s="83"/>
      <c r="P30" s="145"/>
      <c r="Q30" s="81"/>
      <c r="R30" s="38"/>
      <c r="S30" s="39"/>
      <c r="T30" s="40"/>
      <c r="U30" s="32" t="s">
        <v>361</v>
      </c>
      <c r="V30" s="592" t="s">
        <v>171</v>
      </c>
      <c r="W30" s="247"/>
      <c r="X30" s="293" t="s">
        <v>49</v>
      </c>
      <c r="Y30" s="589" t="s">
        <v>38</v>
      </c>
      <c r="Z30" s="247"/>
      <c r="AA30" s="247"/>
      <c r="AB30" s="247"/>
    </row>
    <row r="31" spans="1:28" s="33" customFormat="1" ht="15.75" thickTop="1" thickBot="1" x14ac:dyDescent="0.25">
      <c r="A31" s="210" t="s">
        <v>82</v>
      </c>
      <c r="B31" s="75" t="s">
        <v>151</v>
      </c>
      <c r="C31" s="233">
        <v>80</v>
      </c>
      <c r="D31" s="75" t="s">
        <v>72</v>
      </c>
      <c r="E31" s="207">
        <v>0</v>
      </c>
      <c r="F31" s="208">
        <v>1</v>
      </c>
      <c r="G31" s="222">
        <f t="shared" si="2"/>
        <v>0</v>
      </c>
      <c r="H31" s="65">
        <v>0</v>
      </c>
      <c r="I31" s="92">
        <f t="shared" si="3"/>
        <v>0</v>
      </c>
      <c r="J31" s="73">
        <f t="shared" si="4"/>
        <v>0</v>
      </c>
      <c r="K31" s="77"/>
      <c r="L31" s="67">
        <f>IF( $B$3 = 1,  SUM(G30:G31), SUM(H30:H31) )</f>
        <v>0</v>
      </c>
      <c r="M31" s="93">
        <f>+I30+I31</f>
        <v>0</v>
      </c>
      <c r="N31" s="66">
        <f>+J30+J31</f>
        <v>0</v>
      </c>
      <c r="O31" s="83" t="str">
        <f>+A31</f>
        <v>OLYMPUS</v>
      </c>
      <c r="P31" s="84"/>
      <c r="Q31" s="82"/>
      <c r="R31" s="35"/>
      <c r="S31" s="36"/>
      <c r="T31" s="31" t="s">
        <v>123</v>
      </c>
      <c r="U31" s="32" t="s">
        <v>361</v>
      </c>
      <c r="V31" s="592" t="s">
        <v>171</v>
      </c>
      <c r="W31" s="293"/>
      <c r="X31" s="293" t="s">
        <v>49</v>
      </c>
      <c r="Y31" s="589" t="s">
        <v>38</v>
      </c>
      <c r="Z31" s="293"/>
      <c r="AA31" s="293"/>
      <c r="AB31" s="293"/>
    </row>
    <row r="32" spans="1:28" ht="16.5" thickTop="1" thickBot="1" x14ac:dyDescent="0.3">
      <c r="A32" s="75" t="s">
        <v>83</v>
      </c>
      <c r="B32" s="75" t="s">
        <v>11</v>
      </c>
      <c r="C32" s="75">
        <v>20</v>
      </c>
      <c r="D32" s="75" t="s">
        <v>70</v>
      </c>
      <c r="E32" s="407">
        <v>245.25</v>
      </c>
      <c r="F32" s="75">
        <v>1</v>
      </c>
      <c r="G32" s="222">
        <f t="shared" ref="G32:G33" si="7">IF(B$3 =1, H32*C32, H32/C32)</f>
        <v>0</v>
      </c>
      <c r="H32" s="65">
        <v>0</v>
      </c>
      <c r="I32" s="92">
        <f t="shared" si="3"/>
        <v>0</v>
      </c>
      <c r="J32" s="73">
        <f t="shared" si="4"/>
        <v>0</v>
      </c>
      <c r="K32" s="77"/>
      <c r="L32" s="67"/>
      <c r="M32" s="93"/>
      <c r="N32" s="66"/>
      <c r="O32" s="83"/>
      <c r="P32" s="144"/>
      <c r="Q32" s="81"/>
      <c r="R32" s="38"/>
      <c r="S32" s="39"/>
      <c r="T32" s="40"/>
      <c r="U32" s="32" t="s">
        <v>442</v>
      </c>
      <c r="V32" s="592" t="s">
        <v>441</v>
      </c>
      <c r="W32" s="247"/>
      <c r="X32" s="293" t="s">
        <v>49</v>
      </c>
      <c r="Y32" s="589" t="s">
        <v>33</v>
      </c>
      <c r="Z32" s="247"/>
      <c r="AA32" s="247"/>
      <c r="AB32" s="247"/>
    </row>
    <row r="33" spans="1:28" ht="16.5" thickTop="1" thickBot="1" x14ac:dyDescent="0.3">
      <c r="A33" s="219" t="s">
        <v>83</v>
      </c>
      <c r="B33" s="75" t="s">
        <v>12</v>
      </c>
      <c r="C33" s="75">
        <v>320</v>
      </c>
      <c r="D33" s="75" t="s">
        <v>72</v>
      </c>
      <c r="E33" s="207">
        <v>0</v>
      </c>
      <c r="F33" s="208">
        <v>16</v>
      </c>
      <c r="G33" s="222">
        <f t="shared" si="7"/>
        <v>0</v>
      </c>
      <c r="H33" s="65">
        <v>0</v>
      </c>
      <c r="I33" s="92">
        <f t="shared" si="3"/>
        <v>0</v>
      </c>
      <c r="J33" s="73">
        <f t="shared" si="4"/>
        <v>0</v>
      </c>
      <c r="K33" s="77"/>
      <c r="L33" s="67">
        <f>IF( $B$3 = 1,  SUM(G32:G33), SUM(H32:H33) )</f>
        <v>0</v>
      </c>
      <c r="M33" s="93">
        <f>+I32+I33</f>
        <v>0</v>
      </c>
      <c r="N33" s="66">
        <f>+J32+J33</f>
        <v>0</v>
      </c>
      <c r="O33" s="83" t="str">
        <f>+A33</f>
        <v>PARDNER</v>
      </c>
      <c r="P33" s="144"/>
      <c r="Q33" s="81">
        <f>IF( $B$3 = 1,  SUM($G32:$G33), SUM($H32:$H33) )</f>
        <v>0</v>
      </c>
      <c r="R33" s="38">
        <f>+$J32+$J33</f>
        <v>0</v>
      </c>
      <c r="S33" s="39"/>
      <c r="T33" s="40"/>
      <c r="U33" s="32" t="s">
        <v>361</v>
      </c>
      <c r="V33" s="592" t="s">
        <v>171</v>
      </c>
      <c r="W33" s="247"/>
      <c r="X33" s="293" t="s">
        <v>49</v>
      </c>
      <c r="Y33" s="589" t="s">
        <v>229</v>
      </c>
      <c r="Z33" s="247"/>
      <c r="AA33" s="247"/>
      <c r="AB33" s="247"/>
    </row>
    <row r="34" spans="1:28" ht="16.5" thickTop="1" thickBot="1" x14ac:dyDescent="0.3">
      <c r="A34" s="219" t="s">
        <v>84</v>
      </c>
      <c r="B34" s="75" t="s">
        <v>13</v>
      </c>
      <c r="C34" s="75">
        <v>40</v>
      </c>
      <c r="D34" s="75" t="s">
        <v>70</v>
      </c>
      <c r="E34" s="207">
        <v>0</v>
      </c>
      <c r="F34" s="208">
        <v>1</v>
      </c>
      <c r="G34" s="222">
        <f t="shared" si="2"/>
        <v>0</v>
      </c>
      <c r="H34" s="65">
        <v>0</v>
      </c>
      <c r="I34" s="92">
        <f t="shared" si="3"/>
        <v>0</v>
      </c>
      <c r="J34" s="73">
        <f t="shared" si="4"/>
        <v>0</v>
      </c>
      <c r="K34" s="77"/>
      <c r="L34" s="67">
        <f>IF( $B$3 = 1,  G34,H34 )</f>
        <v>0</v>
      </c>
      <c r="M34" s="93">
        <f t="shared" ref="M34:N34" si="8">+I34</f>
        <v>0</v>
      </c>
      <c r="N34" s="66">
        <f t="shared" si="8"/>
        <v>0</v>
      </c>
      <c r="O34" s="83" t="s">
        <v>84</v>
      </c>
      <c r="P34" s="144"/>
      <c r="Q34" s="81"/>
      <c r="R34" s="38"/>
      <c r="S34" s="39"/>
      <c r="T34" s="40"/>
      <c r="U34" s="32" t="s">
        <v>361</v>
      </c>
      <c r="V34" s="592" t="s">
        <v>171</v>
      </c>
      <c r="W34" s="247"/>
      <c r="X34" s="293" t="s">
        <v>50</v>
      </c>
      <c r="Y34" s="589" t="s">
        <v>39</v>
      </c>
      <c r="Z34" s="247"/>
      <c r="AA34" s="247"/>
      <c r="AB34" s="247"/>
    </row>
    <row r="35" spans="1:28" ht="16.5" thickTop="1" thickBot="1" x14ac:dyDescent="0.3">
      <c r="A35" s="219" t="s">
        <v>213</v>
      </c>
      <c r="B35" s="75" t="s">
        <v>213</v>
      </c>
      <c r="C35" s="75">
        <v>40</v>
      </c>
      <c r="D35" s="75" t="s">
        <v>70</v>
      </c>
      <c r="E35" s="207">
        <v>0</v>
      </c>
      <c r="F35" s="208">
        <v>1</v>
      </c>
      <c r="G35" s="222">
        <f t="shared" ref="G35:G37" si="9">IF(B$3 =1, H35*C35, H35/C35)</f>
        <v>0</v>
      </c>
      <c r="H35" s="65">
        <v>0</v>
      </c>
      <c r="I35" s="92">
        <f t="shared" ref="I35:I37" si="10">IF(B$3 = 1, H35*E35, (H35/C35) *E35)</f>
        <v>0</v>
      </c>
      <c r="J35" s="73">
        <f t="shared" ref="J35:J37" si="11">IF($B$3 =1, H35*F35, (H35/C35) *F35)</f>
        <v>0</v>
      </c>
      <c r="K35" s="77"/>
      <c r="L35" s="67">
        <f>IF( $B$3 = 1,  G35,H35 )</f>
        <v>0</v>
      </c>
      <c r="M35" s="93">
        <f t="shared" ref="M35" si="12">+I35</f>
        <v>0</v>
      </c>
      <c r="N35" s="66">
        <f t="shared" ref="N35" si="13">+J35</f>
        <v>0</v>
      </c>
      <c r="O35" s="83" t="s">
        <v>84</v>
      </c>
      <c r="P35" s="144"/>
      <c r="Q35" s="81"/>
      <c r="R35" s="38"/>
      <c r="S35" s="39"/>
      <c r="T35" s="40"/>
      <c r="U35" s="32" t="s">
        <v>361</v>
      </c>
      <c r="V35" s="592" t="s">
        <v>171</v>
      </c>
      <c r="W35" s="247"/>
      <c r="X35" s="293" t="s">
        <v>50</v>
      </c>
      <c r="Y35" s="589"/>
      <c r="Z35" s="247"/>
      <c r="AA35" s="247"/>
      <c r="AB35" s="247"/>
    </row>
    <row r="36" spans="1:28" ht="16.5" thickTop="1" thickBot="1" x14ac:dyDescent="0.3">
      <c r="A36" s="219" t="s">
        <v>214</v>
      </c>
      <c r="B36" s="75" t="s">
        <v>207</v>
      </c>
      <c r="C36" s="75">
        <v>20</v>
      </c>
      <c r="D36" s="75" t="s">
        <v>70</v>
      </c>
      <c r="E36" s="207">
        <v>0</v>
      </c>
      <c r="F36" s="208">
        <v>1</v>
      </c>
      <c r="G36" s="222">
        <f t="shared" si="9"/>
        <v>0</v>
      </c>
      <c r="H36" s="65">
        <v>0</v>
      </c>
      <c r="I36" s="92">
        <f t="shared" si="10"/>
        <v>0</v>
      </c>
      <c r="J36" s="73">
        <f t="shared" si="11"/>
        <v>0</v>
      </c>
      <c r="K36" s="77"/>
      <c r="L36" s="67"/>
      <c r="M36" s="93"/>
      <c r="N36" s="66"/>
      <c r="O36" s="86"/>
      <c r="P36" s="144"/>
      <c r="Q36" s="81"/>
      <c r="R36" s="38"/>
      <c r="S36" s="39"/>
      <c r="T36" s="40"/>
      <c r="U36" s="32" t="s">
        <v>361</v>
      </c>
      <c r="V36" s="592" t="s">
        <v>171</v>
      </c>
      <c r="W36" s="247"/>
      <c r="X36" s="293" t="s">
        <v>50</v>
      </c>
      <c r="Y36" s="589" t="s">
        <v>40</v>
      </c>
      <c r="Z36" s="247"/>
      <c r="AA36" s="247"/>
      <c r="AB36" s="247"/>
    </row>
    <row r="37" spans="1:28" ht="16.5" thickTop="1" thickBot="1" x14ac:dyDescent="0.3">
      <c r="A37" s="219" t="s">
        <v>214</v>
      </c>
      <c r="B37" s="75" t="s">
        <v>215</v>
      </c>
      <c r="C37" s="75">
        <v>320</v>
      </c>
      <c r="D37" s="75" t="s">
        <v>72</v>
      </c>
      <c r="E37" s="207">
        <v>0</v>
      </c>
      <c r="F37" s="208">
        <v>8.57</v>
      </c>
      <c r="G37" s="222">
        <f t="shared" si="9"/>
        <v>0</v>
      </c>
      <c r="H37" s="65">
        <v>0</v>
      </c>
      <c r="I37" s="92">
        <f t="shared" si="10"/>
        <v>0</v>
      </c>
      <c r="J37" s="73">
        <f t="shared" si="11"/>
        <v>0</v>
      </c>
      <c r="K37" s="77"/>
      <c r="L37" s="67">
        <f>IF( $B$3 = 1,  SUM(G36:G37), SUM(H36:H37) )</f>
        <v>0</v>
      </c>
      <c r="M37" s="93">
        <f>+I36+I37</f>
        <v>0</v>
      </c>
      <c r="N37" s="66">
        <f>+J36+J37</f>
        <v>0</v>
      </c>
      <c r="O37" s="86" t="str">
        <f>+A37</f>
        <v>PROSARO 115</v>
      </c>
      <c r="P37" s="144"/>
      <c r="Q37" s="81"/>
      <c r="R37" s="38"/>
      <c r="S37" s="39"/>
      <c r="T37" s="40"/>
      <c r="U37" s="32" t="s">
        <v>361</v>
      </c>
      <c r="V37" s="592" t="s">
        <v>171</v>
      </c>
      <c r="W37" s="247"/>
      <c r="X37" s="293" t="s">
        <v>50</v>
      </c>
      <c r="Y37" s="589" t="s">
        <v>240</v>
      </c>
      <c r="Z37" s="247"/>
      <c r="AA37" s="247"/>
      <c r="AB37" s="247"/>
    </row>
    <row r="38" spans="1:28" ht="16.5" thickTop="1" thickBot="1" x14ac:dyDescent="0.3">
      <c r="A38" s="219" t="s">
        <v>85</v>
      </c>
      <c r="B38" s="75" t="s">
        <v>14</v>
      </c>
      <c r="C38" s="75">
        <v>20</v>
      </c>
      <c r="D38" s="75" t="s">
        <v>70</v>
      </c>
      <c r="E38" s="207">
        <v>0</v>
      </c>
      <c r="F38" s="208">
        <v>1</v>
      </c>
      <c r="G38" s="222">
        <f t="shared" si="2"/>
        <v>0</v>
      </c>
      <c r="H38" s="65">
        <v>0</v>
      </c>
      <c r="I38" s="92">
        <f t="shared" si="3"/>
        <v>0</v>
      </c>
      <c r="J38" s="73">
        <f t="shared" si="4"/>
        <v>0</v>
      </c>
      <c r="K38" s="77"/>
      <c r="L38" s="67"/>
      <c r="M38" s="93"/>
      <c r="N38" s="66"/>
      <c r="O38" s="86"/>
      <c r="P38" s="144"/>
      <c r="Q38" s="81"/>
      <c r="R38" s="38"/>
      <c r="S38" s="39"/>
      <c r="T38" s="40"/>
      <c r="U38" s="32" t="s">
        <v>361</v>
      </c>
      <c r="V38" s="592" t="s">
        <v>171</v>
      </c>
      <c r="W38" s="247"/>
      <c r="X38" s="293" t="s">
        <v>50</v>
      </c>
      <c r="Y38" s="589" t="s">
        <v>40</v>
      </c>
      <c r="Z38" s="247"/>
      <c r="AA38" s="247"/>
      <c r="AB38" s="247"/>
    </row>
    <row r="39" spans="1:28" ht="16.5" thickTop="1" thickBot="1" x14ac:dyDescent="0.3">
      <c r="A39" s="219" t="s">
        <v>85</v>
      </c>
      <c r="B39" s="75" t="s">
        <v>15</v>
      </c>
      <c r="C39" s="75">
        <v>320</v>
      </c>
      <c r="D39" s="75" t="s">
        <v>72</v>
      </c>
      <c r="E39" s="207">
        <v>0</v>
      </c>
      <c r="F39" s="208">
        <v>16</v>
      </c>
      <c r="G39" s="222">
        <f t="shared" si="2"/>
        <v>0</v>
      </c>
      <c r="H39" s="65">
        <v>0</v>
      </c>
      <c r="I39" s="92">
        <f t="shared" si="3"/>
        <v>0</v>
      </c>
      <c r="J39" s="73">
        <f t="shared" si="4"/>
        <v>0</v>
      </c>
      <c r="K39" s="77"/>
      <c r="L39" s="67">
        <f>IF( $B$3 = 1,  SUM(G38:G39), SUM(H38:H39) )</f>
        <v>0</v>
      </c>
      <c r="M39" s="93">
        <f>SUM(I38:I39)</f>
        <v>0</v>
      </c>
      <c r="N39" s="66">
        <f>SUM(J38:J39)</f>
        <v>0</v>
      </c>
      <c r="O39" s="83" t="str">
        <f>+A38</f>
        <v>PROSARO XTR</v>
      </c>
      <c r="P39" s="144"/>
      <c r="Q39" s="81"/>
      <c r="R39" s="38"/>
      <c r="S39" s="39"/>
      <c r="T39" s="40"/>
      <c r="U39" s="32" t="s">
        <v>361</v>
      </c>
      <c r="V39" s="592" t="s">
        <v>171</v>
      </c>
      <c r="W39" s="247"/>
      <c r="X39" s="293" t="s">
        <v>50</v>
      </c>
      <c r="Y39" s="589" t="s">
        <v>240</v>
      </c>
      <c r="Z39" s="247"/>
      <c r="AA39" s="247"/>
      <c r="AB39" s="247"/>
    </row>
    <row r="40" spans="1:28" ht="16.5" thickTop="1" thickBot="1" x14ac:dyDescent="0.3">
      <c r="A40" s="219" t="s">
        <v>86</v>
      </c>
      <c r="B40" s="75" t="s">
        <v>156</v>
      </c>
      <c r="C40" s="75">
        <v>20</v>
      </c>
      <c r="D40" s="75" t="s">
        <v>70</v>
      </c>
      <c r="E40" s="207">
        <v>0</v>
      </c>
      <c r="F40" s="208">
        <v>1</v>
      </c>
      <c r="G40" s="222">
        <f t="shared" si="2"/>
        <v>0</v>
      </c>
      <c r="H40" s="65">
        <v>0</v>
      </c>
      <c r="I40" s="92">
        <f t="shared" si="3"/>
        <v>0</v>
      </c>
      <c r="J40" s="73">
        <f t="shared" si="4"/>
        <v>0</v>
      </c>
      <c r="K40" s="77"/>
      <c r="L40" s="67"/>
      <c r="M40" s="93"/>
      <c r="N40" s="66"/>
      <c r="O40" s="83"/>
      <c r="P40" s="144"/>
      <c r="Q40" s="81"/>
      <c r="R40" s="38"/>
      <c r="S40" s="39"/>
      <c r="T40" s="40"/>
      <c r="U40" s="32" t="s">
        <v>361</v>
      </c>
      <c r="V40" s="592" t="s">
        <v>171</v>
      </c>
      <c r="W40" s="247"/>
      <c r="X40" s="293" t="s">
        <v>49</v>
      </c>
      <c r="Y40" s="589" t="s">
        <v>41</v>
      </c>
      <c r="Z40" s="247"/>
      <c r="AA40" s="247"/>
      <c r="AB40" s="247"/>
    </row>
    <row r="41" spans="1:28" ht="16.5" thickTop="1" thickBot="1" x14ac:dyDescent="0.3">
      <c r="A41" s="219" t="s">
        <v>86</v>
      </c>
      <c r="B41" s="75" t="s">
        <v>157</v>
      </c>
      <c r="C41" s="75">
        <v>300</v>
      </c>
      <c r="D41" s="75" t="s">
        <v>72</v>
      </c>
      <c r="E41" s="207">
        <v>0</v>
      </c>
      <c r="F41" s="208">
        <v>15</v>
      </c>
      <c r="G41" s="222">
        <f t="shared" si="2"/>
        <v>0</v>
      </c>
      <c r="H41" s="65">
        <v>0</v>
      </c>
      <c r="I41" s="92">
        <f t="shared" si="3"/>
        <v>0</v>
      </c>
      <c r="J41" s="73">
        <f t="shared" si="4"/>
        <v>0</v>
      </c>
      <c r="K41" s="77"/>
      <c r="L41" s="67"/>
      <c r="M41" s="93"/>
      <c r="N41" s="66"/>
      <c r="O41" s="83"/>
      <c r="P41" s="144"/>
      <c r="Q41" s="81"/>
      <c r="R41" s="38"/>
      <c r="S41" s="39"/>
      <c r="T41" s="40"/>
      <c r="U41" s="32" t="s">
        <v>361</v>
      </c>
      <c r="V41" s="592" t="s">
        <v>171</v>
      </c>
      <c r="W41" s="247"/>
      <c r="X41" s="293" t="s">
        <v>49</v>
      </c>
      <c r="Y41" s="589" t="s">
        <v>241</v>
      </c>
      <c r="Z41" s="247"/>
      <c r="AA41" s="247"/>
      <c r="AB41" s="247"/>
    </row>
    <row r="42" spans="1:28" ht="16.5" thickTop="1" thickBot="1" x14ac:dyDescent="0.3">
      <c r="A42" s="219" t="s">
        <v>86</v>
      </c>
      <c r="B42" s="75" t="s">
        <v>158</v>
      </c>
      <c r="C42" s="75">
        <v>1000</v>
      </c>
      <c r="D42" s="75" t="s">
        <v>72</v>
      </c>
      <c r="E42" s="207">
        <v>0</v>
      </c>
      <c r="F42" s="208">
        <v>50</v>
      </c>
      <c r="G42" s="222">
        <f t="shared" si="2"/>
        <v>0</v>
      </c>
      <c r="H42" s="65">
        <v>0</v>
      </c>
      <c r="I42" s="92">
        <f t="shared" si="3"/>
        <v>0</v>
      </c>
      <c r="J42" s="73">
        <f t="shared" si="4"/>
        <v>0</v>
      </c>
      <c r="K42" s="77"/>
      <c r="L42" s="67">
        <f>IF( $B$3 = 1,  SUM(G40:G42), SUM(H40:H42) )</f>
        <v>0</v>
      </c>
      <c r="M42" s="93">
        <f>SUM(I40:I42)</f>
        <v>0</v>
      </c>
      <c r="N42" s="66">
        <f>SUM(J40:J42)</f>
        <v>0</v>
      </c>
      <c r="O42" s="83" t="str">
        <f>+A42</f>
        <v>PUMA ADVANCE</v>
      </c>
      <c r="P42" s="144"/>
      <c r="Q42" s="81"/>
      <c r="R42" s="38"/>
      <c r="S42" s="39"/>
      <c r="T42" s="40"/>
      <c r="U42" s="32" t="s">
        <v>361</v>
      </c>
      <c r="V42" s="592" t="s">
        <v>171</v>
      </c>
      <c r="W42" s="247"/>
      <c r="X42" s="293" t="s">
        <v>49</v>
      </c>
      <c r="Y42" s="589" t="s">
        <v>242</v>
      </c>
      <c r="Z42" s="247"/>
      <c r="AA42" s="247"/>
      <c r="AB42" s="247"/>
    </row>
    <row r="43" spans="1:28" ht="16.5" thickTop="1" thickBot="1" x14ac:dyDescent="0.3">
      <c r="A43" s="219" t="s">
        <v>87</v>
      </c>
      <c r="B43" s="75" t="s">
        <v>284</v>
      </c>
      <c r="C43" s="75">
        <v>65</v>
      </c>
      <c r="D43" s="75" t="s">
        <v>70</v>
      </c>
      <c r="E43" s="207">
        <v>0</v>
      </c>
      <c r="F43" s="75">
        <v>1</v>
      </c>
      <c r="G43" s="222">
        <f t="shared" si="2"/>
        <v>0</v>
      </c>
      <c r="H43" s="65">
        <v>0</v>
      </c>
      <c r="I43" s="92">
        <f t="shared" si="3"/>
        <v>0</v>
      </c>
      <c r="J43" s="73">
        <f t="shared" si="4"/>
        <v>0</v>
      </c>
      <c r="K43" s="77"/>
      <c r="L43" s="67"/>
      <c r="M43" s="93"/>
      <c r="N43" s="66"/>
      <c r="O43" s="83"/>
      <c r="P43" s="144"/>
      <c r="Q43" s="81"/>
      <c r="R43" s="38"/>
      <c r="S43" s="39"/>
      <c r="T43" s="40"/>
      <c r="U43" s="32" t="s">
        <v>361</v>
      </c>
      <c r="V43" s="592" t="s">
        <v>171</v>
      </c>
      <c r="W43" s="247"/>
      <c r="X43" s="293" t="s">
        <v>51</v>
      </c>
      <c r="Y43" s="589" t="s">
        <v>42</v>
      </c>
      <c r="Z43" s="247" t="s">
        <v>275</v>
      </c>
      <c r="AA43" s="247"/>
      <c r="AB43" s="247"/>
    </row>
    <row r="44" spans="1:28" ht="16.5" thickTop="1" thickBot="1" x14ac:dyDescent="0.3">
      <c r="A44" s="219" t="s">
        <v>87</v>
      </c>
      <c r="B44" s="75" t="s">
        <v>281</v>
      </c>
      <c r="C44" s="236">
        <v>380.25</v>
      </c>
      <c r="D44" s="75" t="s">
        <v>72</v>
      </c>
      <c r="E44" s="207">
        <v>0</v>
      </c>
      <c r="F44" s="75">
        <v>5.85</v>
      </c>
      <c r="G44" s="222">
        <f t="shared" si="2"/>
        <v>0</v>
      </c>
      <c r="H44" s="65">
        <v>0</v>
      </c>
      <c r="I44" s="92">
        <f t="shared" si="3"/>
        <v>0</v>
      </c>
      <c r="J44" s="73">
        <f t="shared" si="4"/>
        <v>0</v>
      </c>
      <c r="K44" s="77"/>
      <c r="L44" s="67"/>
      <c r="M44" s="93"/>
      <c r="N44" s="66"/>
      <c r="O44" s="83"/>
      <c r="P44" s="144"/>
      <c r="Q44" s="81"/>
      <c r="R44" s="38"/>
      <c r="S44" s="39"/>
      <c r="T44" s="40"/>
      <c r="U44" s="32" t="s">
        <v>361</v>
      </c>
      <c r="V44" s="592" t="s">
        <v>171</v>
      </c>
      <c r="W44" s="247"/>
      <c r="X44" s="293" t="s">
        <v>51</v>
      </c>
      <c r="Y44" s="589" t="s">
        <v>243</v>
      </c>
      <c r="Z44" s="247" t="s">
        <v>276</v>
      </c>
      <c r="AA44" s="247"/>
      <c r="AB44" s="247"/>
    </row>
    <row r="45" spans="1:28" ht="16.5" thickTop="1" thickBot="1" x14ac:dyDescent="0.3">
      <c r="A45" s="219" t="s">
        <v>87</v>
      </c>
      <c r="B45" s="75" t="s">
        <v>282</v>
      </c>
      <c r="C45" s="75">
        <v>1140.75</v>
      </c>
      <c r="D45" s="75" t="s">
        <v>72</v>
      </c>
      <c r="E45" s="207">
        <v>0</v>
      </c>
      <c r="F45" s="75">
        <v>17.55</v>
      </c>
      <c r="G45" s="222">
        <f t="shared" si="2"/>
        <v>0</v>
      </c>
      <c r="H45" s="65">
        <v>0</v>
      </c>
      <c r="I45" s="92">
        <f t="shared" si="3"/>
        <v>0</v>
      </c>
      <c r="J45" s="73">
        <f t="shared" si="4"/>
        <v>0</v>
      </c>
      <c r="K45" s="77"/>
      <c r="L45" s="67"/>
      <c r="M45" s="93"/>
      <c r="N45" s="66"/>
      <c r="O45" s="83"/>
      <c r="P45" s="144"/>
      <c r="Q45" s="81"/>
      <c r="R45" s="38"/>
      <c r="S45" s="39"/>
      <c r="T45" s="40"/>
      <c r="U45" s="32" t="s">
        <v>361</v>
      </c>
      <c r="V45" s="592" t="s">
        <v>171</v>
      </c>
      <c r="W45" s="247"/>
      <c r="X45" s="293" t="s">
        <v>51</v>
      </c>
      <c r="Y45" s="589" t="s">
        <v>244</v>
      </c>
      <c r="Z45" s="247" t="s">
        <v>276</v>
      </c>
      <c r="AA45" s="247"/>
      <c r="AB45" s="247"/>
    </row>
    <row r="46" spans="1:28" ht="16.5" thickTop="1" thickBot="1" x14ac:dyDescent="0.3">
      <c r="A46" s="219" t="s">
        <v>87</v>
      </c>
      <c r="B46" s="75" t="s">
        <v>283</v>
      </c>
      <c r="C46" s="75">
        <v>6500</v>
      </c>
      <c r="D46" s="75" t="s">
        <v>72</v>
      </c>
      <c r="E46" s="207">
        <v>0</v>
      </c>
      <c r="F46" s="75">
        <v>100</v>
      </c>
      <c r="G46" s="222">
        <f t="shared" si="2"/>
        <v>0</v>
      </c>
      <c r="H46" s="65">
        <v>0</v>
      </c>
      <c r="I46" s="92">
        <f t="shared" si="3"/>
        <v>0</v>
      </c>
      <c r="J46" s="73">
        <f t="shared" si="4"/>
        <v>0</v>
      </c>
      <c r="K46" s="77"/>
      <c r="L46" s="67">
        <f>IF( $B$3 = 1,  SUM(G43:G46), SUM(H43:H46) )</f>
        <v>0</v>
      </c>
      <c r="M46" s="93">
        <f>SUM(I43:I46)</f>
        <v>0</v>
      </c>
      <c r="N46" s="66">
        <f>SUM(J43:J46)</f>
        <v>0</v>
      </c>
      <c r="O46" s="83" t="str">
        <f>+A46</f>
        <v>RAXIL PRO</v>
      </c>
      <c r="P46" s="144"/>
      <c r="Q46" s="81"/>
      <c r="R46" s="38"/>
      <c r="S46" s="39"/>
      <c r="T46" s="40"/>
      <c r="U46" s="32" t="s">
        <v>361</v>
      </c>
      <c r="V46" s="592" t="s">
        <v>171</v>
      </c>
      <c r="W46" s="247"/>
      <c r="X46" s="293" t="s">
        <v>51</v>
      </c>
      <c r="Y46" s="589" t="s">
        <v>245</v>
      </c>
      <c r="Z46" s="247" t="s">
        <v>276</v>
      </c>
      <c r="AA46" s="247"/>
      <c r="AB46" s="247"/>
    </row>
    <row r="47" spans="1:28" ht="16.5" thickTop="1" thickBot="1" x14ac:dyDescent="0.3">
      <c r="A47" s="219" t="s">
        <v>88</v>
      </c>
      <c r="B47" s="75" t="s">
        <v>20</v>
      </c>
      <c r="C47" s="75">
        <v>65</v>
      </c>
      <c r="D47" s="75" t="s">
        <v>70</v>
      </c>
      <c r="E47" s="207">
        <v>0</v>
      </c>
      <c r="F47" s="75">
        <v>1</v>
      </c>
      <c r="G47" s="222">
        <f t="shared" si="2"/>
        <v>0</v>
      </c>
      <c r="H47" s="65">
        <v>0</v>
      </c>
      <c r="I47" s="92">
        <f t="shared" si="3"/>
        <v>0</v>
      </c>
      <c r="J47" s="73">
        <f t="shared" si="4"/>
        <v>0</v>
      </c>
      <c r="K47" s="77"/>
      <c r="L47" s="67">
        <f>IF( $B$3 = 1,  G47,H47 )</f>
        <v>0</v>
      </c>
      <c r="M47" s="93">
        <f>+I47</f>
        <v>0</v>
      </c>
      <c r="N47" s="66">
        <f>+J47</f>
        <v>0</v>
      </c>
      <c r="O47" s="83" t="str">
        <f>+A47</f>
        <v>RAXIL PRO SHIELD</v>
      </c>
      <c r="P47" s="144"/>
      <c r="Q47" s="81"/>
      <c r="R47" s="38"/>
      <c r="S47" s="39"/>
      <c r="T47" s="40"/>
      <c r="U47" s="32" t="s">
        <v>361</v>
      </c>
      <c r="V47" s="592" t="s">
        <v>171</v>
      </c>
      <c r="W47" s="247"/>
      <c r="X47" s="293" t="s">
        <v>51</v>
      </c>
      <c r="Y47" s="589" t="s">
        <v>246</v>
      </c>
      <c r="Z47" s="247"/>
      <c r="AA47" s="247"/>
      <c r="AB47" s="247"/>
    </row>
    <row r="48" spans="1:28" ht="16.5" thickTop="1" thickBot="1" x14ac:dyDescent="0.3">
      <c r="A48" s="219" t="s">
        <v>120</v>
      </c>
      <c r="B48" s="75" t="s">
        <v>145</v>
      </c>
      <c r="C48" s="75">
        <v>1</v>
      </c>
      <c r="D48" s="75" t="s">
        <v>70</v>
      </c>
      <c r="E48" s="207">
        <v>0</v>
      </c>
      <c r="F48" s="75">
        <v>1</v>
      </c>
      <c r="G48" s="222">
        <f t="shared" si="2"/>
        <v>0</v>
      </c>
      <c r="H48" s="65">
        <v>0</v>
      </c>
      <c r="I48" s="92">
        <f>+E48*H48</f>
        <v>0</v>
      </c>
      <c r="J48" s="66">
        <f>+F48*H48</f>
        <v>0</v>
      </c>
      <c r="K48" s="77"/>
      <c r="L48" s="67">
        <f>+G48</f>
        <v>0</v>
      </c>
      <c r="M48" s="93">
        <f>+I48</f>
        <v>0</v>
      </c>
      <c r="N48" s="66">
        <f>+J48</f>
        <v>0</v>
      </c>
      <c r="O48" s="83" t="str">
        <f>+A48</f>
        <v>REASON</v>
      </c>
      <c r="P48" s="85"/>
      <c r="Q48" s="81"/>
      <c r="R48" s="38"/>
      <c r="S48" s="39"/>
      <c r="T48" s="40"/>
      <c r="U48" s="32" t="s">
        <v>361</v>
      </c>
      <c r="V48" s="592" t="s">
        <v>171</v>
      </c>
      <c r="W48" s="247"/>
      <c r="X48" s="293" t="s">
        <v>50</v>
      </c>
      <c r="Y48" s="589" t="s">
        <v>132</v>
      </c>
      <c r="Z48" s="247"/>
      <c r="AA48" s="247"/>
      <c r="AB48" s="247"/>
    </row>
    <row r="49" spans="1:28" ht="16.5" thickTop="1" thickBot="1" x14ac:dyDescent="0.3">
      <c r="A49" s="75" t="s">
        <v>177</v>
      </c>
      <c r="B49" s="75" t="s">
        <v>178</v>
      </c>
      <c r="C49" s="75">
        <v>5</v>
      </c>
      <c r="D49" s="75" t="s">
        <v>70</v>
      </c>
      <c r="E49" s="207">
        <v>0</v>
      </c>
      <c r="F49" s="75">
        <v>1</v>
      </c>
      <c r="G49" s="222">
        <f t="shared" si="2"/>
        <v>0</v>
      </c>
      <c r="H49" s="65">
        <v>0</v>
      </c>
      <c r="I49" s="92">
        <f t="shared" si="3"/>
        <v>0</v>
      </c>
      <c r="J49" s="73">
        <f t="shared" si="4"/>
        <v>0</v>
      </c>
      <c r="K49" s="77"/>
      <c r="L49" s="67"/>
      <c r="M49" s="93"/>
      <c r="N49" s="66"/>
      <c r="O49" s="83"/>
      <c r="P49" s="144"/>
      <c r="Q49" s="81"/>
      <c r="R49" s="38"/>
      <c r="S49" s="39"/>
      <c r="T49" s="40"/>
      <c r="U49" s="32" t="s">
        <v>361</v>
      </c>
      <c r="V49" s="592" t="s">
        <v>171</v>
      </c>
      <c r="W49" s="247"/>
      <c r="X49" s="293" t="s">
        <v>49</v>
      </c>
      <c r="Y49" s="589" t="s">
        <v>42</v>
      </c>
      <c r="Z49" s="247"/>
      <c r="AA49" s="247"/>
      <c r="AB49" s="247"/>
    </row>
    <row r="50" spans="1:28" ht="16.5" thickTop="1" thickBot="1" x14ac:dyDescent="0.3">
      <c r="A50" s="75" t="s">
        <v>177</v>
      </c>
      <c r="B50" s="75" t="s">
        <v>253</v>
      </c>
      <c r="C50" s="75">
        <v>225</v>
      </c>
      <c r="D50" s="75" t="s">
        <v>72</v>
      </c>
      <c r="E50" s="207">
        <v>0</v>
      </c>
      <c r="F50" s="75">
        <v>45</v>
      </c>
      <c r="G50" s="222">
        <f>IF(B$3 =1, H50*C50, H50/C50)</f>
        <v>0</v>
      </c>
      <c r="H50" s="65">
        <v>0</v>
      </c>
      <c r="I50" s="92">
        <f>IF(B$3 = 1, H50*E50, (H50/C50) *E50)</f>
        <v>0</v>
      </c>
      <c r="J50" s="73">
        <f>IF($B$3 =1, H50*F50, (H50/C50) *F50)</f>
        <v>0</v>
      </c>
      <c r="K50" s="77"/>
      <c r="L50" s="67">
        <f>IF( $B$3 = 1,  SUM(G49:G50), SUM(H49:H50) )</f>
        <v>0</v>
      </c>
      <c r="M50" s="93">
        <f>SUM(I49:I50)</f>
        <v>0</v>
      </c>
      <c r="N50" s="66">
        <f>SUM(J49:J50)</f>
        <v>0</v>
      </c>
      <c r="O50" s="83" t="str">
        <f>+A50</f>
        <v>ROUNDUP XTEND</v>
      </c>
      <c r="P50" s="144"/>
      <c r="Q50" s="81"/>
      <c r="R50" s="38"/>
      <c r="S50" s="39"/>
      <c r="T50" s="40"/>
      <c r="U50" s="32" t="s">
        <v>361</v>
      </c>
      <c r="V50" s="592" t="s">
        <v>171</v>
      </c>
      <c r="W50" s="247"/>
      <c r="X50" s="293" t="s">
        <v>49</v>
      </c>
      <c r="Y50" s="589" t="s">
        <v>237</v>
      </c>
      <c r="Z50" s="247"/>
      <c r="AA50" s="247"/>
      <c r="AB50" s="247"/>
    </row>
    <row r="51" spans="1:28" ht="16.5" thickTop="1" thickBot="1" x14ac:dyDescent="0.3">
      <c r="A51" s="75" t="s">
        <v>216</v>
      </c>
      <c r="B51" s="75" t="s">
        <v>208</v>
      </c>
      <c r="C51" s="75">
        <v>15</v>
      </c>
      <c r="D51" s="75" t="s">
        <v>70</v>
      </c>
      <c r="E51" s="207">
        <v>0</v>
      </c>
      <c r="F51" s="75">
        <v>1</v>
      </c>
      <c r="G51" s="222">
        <f>IF(B$3 =1, H51*C51, H51/C51)</f>
        <v>0</v>
      </c>
      <c r="H51" s="65">
        <v>0</v>
      </c>
      <c r="I51" s="92">
        <f>IF(B$3 = 1, H51*E51, (H51/C51) *E51)</f>
        <v>0</v>
      </c>
      <c r="J51" s="73">
        <f>IF($B$3 =1, H51*F51, (H51/C51) *F51)</f>
        <v>0</v>
      </c>
      <c r="K51" s="77"/>
      <c r="L51" s="67">
        <f>IF( $B$3 = 1,  G51,H51 )</f>
        <v>0</v>
      </c>
      <c r="M51" s="93">
        <f t="shared" ref="M51" si="14">+I51</f>
        <v>0</v>
      </c>
      <c r="N51" s="66">
        <f t="shared" ref="N51" si="15">+J51</f>
        <v>0</v>
      </c>
      <c r="O51" s="83" t="str">
        <f>+A51</f>
        <v>ROUNDUP WEATHERMAX</v>
      </c>
      <c r="P51" s="144"/>
      <c r="Q51" s="81"/>
      <c r="R51" s="38"/>
      <c r="S51" s="39"/>
      <c r="T51" s="40"/>
      <c r="U51" s="32" t="s">
        <v>361</v>
      </c>
      <c r="V51" s="592" t="s">
        <v>171</v>
      </c>
      <c r="W51" s="247"/>
      <c r="X51" s="293" t="s">
        <v>49</v>
      </c>
      <c r="Y51" s="589" t="s">
        <v>42</v>
      </c>
      <c r="Z51" s="247"/>
      <c r="AA51" s="247"/>
      <c r="AB51" s="247"/>
    </row>
    <row r="52" spans="1:28" ht="16.5" thickTop="1" thickBot="1" x14ac:dyDescent="0.3">
      <c r="A52" s="75" t="s">
        <v>216</v>
      </c>
      <c r="B52" s="75" t="s">
        <v>256</v>
      </c>
      <c r="C52" s="75">
        <v>172</v>
      </c>
      <c r="D52" s="75" t="s">
        <v>72</v>
      </c>
      <c r="E52" s="207">
        <v>0</v>
      </c>
      <c r="F52" s="75">
        <v>11.5</v>
      </c>
      <c r="G52" s="222">
        <f t="shared" ref="G52:G54" si="16">IF(B$3 =1, H52*C52, H52/C52)</f>
        <v>0</v>
      </c>
      <c r="H52" s="65">
        <v>0</v>
      </c>
      <c r="I52" s="92">
        <f t="shared" ref="I52:I54" si="17">IF(B$3 = 1, H52*E52, (H52/C52) *E52)</f>
        <v>0</v>
      </c>
      <c r="J52" s="73">
        <f t="shared" ref="J52:J54" si="18">IF($B$3 =1, H52*F52, (H52/C52) *F52)</f>
        <v>0</v>
      </c>
      <c r="K52" s="77"/>
      <c r="L52" s="67"/>
      <c r="M52" s="93"/>
      <c r="N52" s="66"/>
      <c r="O52" s="83" t="str">
        <f t="shared" ref="O52:O54" si="19">+A52</f>
        <v>ROUNDUP WEATHERMAX</v>
      </c>
      <c r="P52" s="144"/>
      <c r="Q52" s="81"/>
      <c r="R52" s="38"/>
      <c r="S52" s="39"/>
      <c r="T52" s="40"/>
      <c r="U52" s="32" t="s">
        <v>361</v>
      </c>
      <c r="V52" s="592" t="s">
        <v>171</v>
      </c>
      <c r="W52" s="247"/>
      <c r="X52" s="293" t="s">
        <v>49</v>
      </c>
      <c r="Y52" s="589" t="s">
        <v>259</v>
      </c>
      <c r="Z52" s="247"/>
      <c r="AA52" s="247"/>
      <c r="AB52" s="247"/>
    </row>
    <row r="53" spans="1:28" ht="16.5" thickTop="1" thickBot="1" x14ac:dyDescent="0.3">
      <c r="A53" s="75" t="s">
        <v>216</v>
      </c>
      <c r="B53" s="75" t="s">
        <v>257</v>
      </c>
      <c r="C53" s="75">
        <v>675</v>
      </c>
      <c r="D53" s="75" t="s">
        <v>72</v>
      </c>
      <c r="E53" s="207">
        <v>0</v>
      </c>
      <c r="F53" s="75">
        <v>45</v>
      </c>
      <c r="G53" s="222">
        <f t="shared" si="16"/>
        <v>0</v>
      </c>
      <c r="H53" s="65">
        <v>0</v>
      </c>
      <c r="I53" s="92">
        <f t="shared" si="17"/>
        <v>0</v>
      </c>
      <c r="J53" s="73">
        <f t="shared" si="18"/>
        <v>0</v>
      </c>
      <c r="K53" s="77"/>
      <c r="L53" s="67"/>
      <c r="M53" s="93"/>
      <c r="N53" s="66"/>
      <c r="O53" s="83" t="str">
        <f t="shared" si="19"/>
        <v>ROUNDUP WEATHERMAX</v>
      </c>
      <c r="P53" s="144"/>
      <c r="Q53" s="81"/>
      <c r="R53" s="38"/>
      <c r="S53" s="39"/>
      <c r="T53" s="40"/>
      <c r="U53" s="32" t="s">
        <v>361</v>
      </c>
      <c r="V53" s="592" t="s">
        <v>171</v>
      </c>
      <c r="W53" s="247"/>
      <c r="X53" s="293" t="s">
        <v>49</v>
      </c>
      <c r="Y53" s="589" t="s">
        <v>260</v>
      </c>
      <c r="Z53" s="247"/>
      <c r="AA53" s="247"/>
      <c r="AB53" s="247"/>
    </row>
    <row r="54" spans="1:28" ht="16.5" thickTop="1" thickBot="1" x14ac:dyDescent="0.3">
      <c r="A54" s="75" t="s">
        <v>216</v>
      </c>
      <c r="B54" s="75" t="s">
        <v>258</v>
      </c>
      <c r="C54" s="75">
        <v>1200</v>
      </c>
      <c r="D54" s="75" t="s">
        <v>72</v>
      </c>
      <c r="E54" s="207">
        <v>0</v>
      </c>
      <c r="F54" s="75">
        <v>80</v>
      </c>
      <c r="G54" s="222">
        <f t="shared" si="16"/>
        <v>0</v>
      </c>
      <c r="H54" s="65">
        <v>0</v>
      </c>
      <c r="I54" s="92">
        <f t="shared" si="17"/>
        <v>0</v>
      </c>
      <c r="J54" s="73">
        <f t="shared" si="18"/>
        <v>0</v>
      </c>
      <c r="K54" s="77"/>
      <c r="L54" s="67">
        <f>IF( $B$3 = 1,  SUM(G51:G54), SUM(H51:H54) )</f>
        <v>0</v>
      </c>
      <c r="M54" s="93">
        <f>SUM(I51:I54)</f>
        <v>0</v>
      </c>
      <c r="N54" s="66">
        <f>SUM(J51:J54)</f>
        <v>0</v>
      </c>
      <c r="O54" s="83" t="str">
        <f t="shared" si="19"/>
        <v>ROUNDUP WEATHERMAX</v>
      </c>
      <c r="P54" s="144"/>
      <c r="Q54" s="81"/>
      <c r="R54" s="38"/>
      <c r="S54" s="39"/>
      <c r="T54" s="40"/>
      <c r="U54" s="32" t="s">
        <v>361</v>
      </c>
      <c r="V54" s="592" t="s">
        <v>171</v>
      </c>
      <c r="W54" s="247"/>
      <c r="X54" s="293" t="s">
        <v>49</v>
      </c>
      <c r="Y54" s="589" t="s">
        <v>261</v>
      </c>
      <c r="Z54" s="247"/>
      <c r="AA54" s="247"/>
      <c r="AB54" s="247"/>
    </row>
    <row r="55" spans="1:28" ht="16.5" thickTop="1" thickBot="1" x14ac:dyDescent="0.3">
      <c r="A55" s="75" t="s">
        <v>121</v>
      </c>
      <c r="B55" s="75" t="s">
        <v>152</v>
      </c>
      <c r="C55" s="75">
        <v>324.10000000000002</v>
      </c>
      <c r="D55" s="75" t="s">
        <v>72</v>
      </c>
      <c r="E55" s="207">
        <v>0</v>
      </c>
      <c r="F55" s="75">
        <v>54.02</v>
      </c>
      <c r="G55" s="222">
        <f>IF(B$3 =1, H55*C55, H55/C55)</f>
        <v>0</v>
      </c>
      <c r="H55" s="65">
        <v>0</v>
      </c>
      <c r="I55" s="92">
        <f>IF(B$3 = 1, H55*E55, (H55/C55) *E55)</f>
        <v>0</v>
      </c>
      <c r="J55" s="73">
        <f>IF($B$3 =1, H55*F55, (H55/C55) *F55)</f>
        <v>0</v>
      </c>
      <c r="K55" s="77"/>
      <c r="L55" s="67"/>
      <c r="M55" s="93"/>
      <c r="N55" s="66"/>
      <c r="O55" s="83"/>
      <c r="P55" s="144"/>
      <c r="Q55" s="81"/>
      <c r="R55" s="38"/>
      <c r="S55" s="39"/>
      <c r="T55" s="40"/>
      <c r="U55" s="32" t="s">
        <v>361</v>
      </c>
      <c r="V55" s="592" t="s">
        <v>171</v>
      </c>
      <c r="W55" s="247"/>
      <c r="X55" s="293" t="s">
        <v>50</v>
      </c>
      <c r="Y55" s="589" t="s">
        <v>247</v>
      </c>
      <c r="Z55" s="247"/>
      <c r="AA55" s="247"/>
      <c r="AB55" s="247"/>
    </row>
    <row r="56" spans="1:28" ht="16.5" thickTop="1" thickBot="1" x14ac:dyDescent="0.3">
      <c r="A56" s="75" t="s">
        <v>121</v>
      </c>
      <c r="B56" s="75" t="s">
        <v>153</v>
      </c>
      <c r="C56" s="75">
        <v>6</v>
      </c>
      <c r="D56" s="75" t="s">
        <v>70</v>
      </c>
      <c r="E56" s="207">
        <v>0</v>
      </c>
      <c r="F56" s="75">
        <v>1</v>
      </c>
      <c r="G56" s="222">
        <f>IF(B$3 =1, H56*C56, H56/C56)</f>
        <v>0</v>
      </c>
      <c r="H56" s="65">
        <v>0</v>
      </c>
      <c r="I56" s="92">
        <f>IF(B$3 = 1, H56*E56, (H56/C56) *E56)</f>
        <v>0</v>
      </c>
      <c r="J56" s="73">
        <f>IF($B$3 =1, H56*F56, (H56/C56) *F56)</f>
        <v>0</v>
      </c>
      <c r="K56" s="77"/>
      <c r="L56" s="67">
        <f>IF( $B$3 = 1,  SUM(G55:G56), SUM(H55:H56) )</f>
        <v>0</v>
      </c>
      <c r="M56" s="93">
        <f>SUM(I55:I56)</f>
        <v>0</v>
      </c>
      <c r="N56" s="66">
        <f>SUM(J55:J56)</f>
        <v>0</v>
      </c>
      <c r="O56" s="78" t="str">
        <f>+A56</f>
        <v>SERENADE SOIL</v>
      </c>
      <c r="P56" s="144"/>
      <c r="Q56" s="81"/>
      <c r="R56" s="38"/>
      <c r="S56" s="39"/>
      <c r="T56" s="40"/>
      <c r="U56" s="32" t="s">
        <v>361</v>
      </c>
      <c r="V56" s="592" t="s">
        <v>171</v>
      </c>
      <c r="W56" s="247"/>
      <c r="X56" s="293" t="s">
        <v>50</v>
      </c>
      <c r="Y56" s="589" t="s">
        <v>134</v>
      </c>
      <c r="Z56" s="247"/>
      <c r="AA56" s="247"/>
      <c r="AB56" s="247"/>
    </row>
    <row r="57" spans="1:28" ht="16.5" thickTop="1" thickBot="1" x14ac:dyDescent="0.3">
      <c r="A57" s="75" t="s">
        <v>118</v>
      </c>
      <c r="B57" s="75" t="s">
        <v>146</v>
      </c>
      <c r="C57" s="237">
        <v>7</v>
      </c>
      <c r="D57" s="75" t="s">
        <v>70</v>
      </c>
      <c r="E57" s="207">
        <v>0</v>
      </c>
      <c r="F57" s="209">
        <v>1</v>
      </c>
      <c r="G57" s="222">
        <f t="shared" ref="G57:G106" si="20">IF(B$3 =1, H57*C57, H57/C57)</f>
        <v>0</v>
      </c>
      <c r="H57" s="65">
        <v>0</v>
      </c>
      <c r="I57" s="193">
        <f t="shared" ref="I57:I106" si="21">IF(B$3 = 1, H57*E57, (H57/C57) *E57)</f>
        <v>0</v>
      </c>
      <c r="J57" s="73">
        <f t="shared" ref="J57:J82" si="22">IF($B$3 =1, H57*F57, (H57/C57) *F57)</f>
        <v>0</v>
      </c>
      <c r="K57" s="77"/>
      <c r="L57" s="67"/>
      <c r="M57" s="93"/>
      <c r="N57" s="66"/>
      <c r="O57" s="83"/>
      <c r="P57" s="144"/>
      <c r="Q57" s="81"/>
      <c r="R57" s="38"/>
      <c r="S57" s="39"/>
      <c r="T57" s="40"/>
      <c r="U57" s="32" t="s">
        <v>361</v>
      </c>
      <c r="V57" s="592" t="s">
        <v>171</v>
      </c>
      <c r="W57" s="247"/>
      <c r="X57" s="293" t="s">
        <v>50</v>
      </c>
      <c r="Y57" s="589" t="s">
        <v>132</v>
      </c>
      <c r="Z57" s="247"/>
      <c r="AA57" s="247"/>
      <c r="AB57" s="247"/>
    </row>
    <row r="58" spans="1:28" ht="16.5" thickTop="1" thickBot="1" x14ac:dyDescent="0.3">
      <c r="A58" s="75" t="s">
        <v>118</v>
      </c>
      <c r="B58" s="75" t="s">
        <v>147</v>
      </c>
      <c r="C58" s="237">
        <v>20</v>
      </c>
      <c r="D58" s="75" t="s">
        <v>72</v>
      </c>
      <c r="E58" s="207">
        <v>0</v>
      </c>
      <c r="F58" s="238">
        <v>2.8571</v>
      </c>
      <c r="G58" s="222">
        <f t="shared" si="20"/>
        <v>0</v>
      </c>
      <c r="H58" s="65">
        <v>0</v>
      </c>
      <c r="I58" s="92">
        <f t="shared" si="21"/>
        <v>0</v>
      </c>
      <c r="J58" s="73">
        <f t="shared" si="22"/>
        <v>0</v>
      </c>
      <c r="K58" s="77"/>
      <c r="L58" s="67">
        <f>IF( $B$3 = 1,  SUM(G57:G58), SUM(H57:H58) )</f>
        <v>0</v>
      </c>
      <c r="M58" s="93">
        <f>+I57+I58</f>
        <v>0</v>
      </c>
      <c r="N58" s="66">
        <f>+J57+J58</f>
        <v>0</v>
      </c>
      <c r="O58" s="83" t="str">
        <f>+A58</f>
        <v>SCALA</v>
      </c>
      <c r="P58" s="144"/>
      <c r="Q58" s="81"/>
      <c r="R58" s="38"/>
      <c r="S58" s="39"/>
      <c r="T58" s="40"/>
      <c r="U58" s="32" t="s">
        <v>361</v>
      </c>
      <c r="V58" s="592" t="s">
        <v>171</v>
      </c>
      <c r="W58" s="247"/>
      <c r="X58" s="293" t="s">
        <v>50</v>
      </c>
      <c r="Y58" s="589" t="s">
        <v>248</v>
      </c>
      <c r="Z58" s="247"/>
      <c r="AA58" s="247"/>
      <c r="AB58" s="247"/>
    </row>
    <row r="59" spans="1:28" ht="16.5" thickTop="1" thickBot="1" x14ac:dyDescent="0.3">
      <c r="A59" s="219" t="s">
        <v>89</v>
      </c>
      <c r="B59" s="75" t="s">
        <v>19</v>
      </c>
      <c r="C59" s="237">
        <v>23</v>
      </c>
      <c r="D59" s="75" t="s">
        <v>70</v>
      </c>
      <c r="E59" s="207">
        <v>0</v>
      </c>
      <c r="F59" s="208">
        <v>1</v>
      </c>
      <c r="G59" s="222">
        <f t="shared" si="20"/>
        <v>0</v>
      </c>
      <c r="H59" s="65">
        <v>0</v>
      </c>
      <c r="I59" s="92">
        <f t="shared" si="21"/>
        <v>0</v>
      </c>
      <c r="J59" s="73">
        <f t="shared" si="22"/>
        <v>0</v>
      </c>
      <c r="K59" s="77"/>
      <c r="L59" s="67">
        <f>IF( $B$3 = 1,  G59,H59 )</f>
        <v>0</v>
      </c>
      <c r="M59" s="93">
        <f t="shared" ref="M59:N62" si="23">+I59</f>
        <v>0</v>
      </c>
      <c r="N59" s="66">
        <f t="shared" si="23"/>
        <v>0</v>
      </c>
      <c r="O59" s="83" t="str">
        <f>+A59</f>
        <v>SENCOR</v>
      </c>
      <c r="P59" s="85"/>
      <c r="Q59" s="81"/>
      <c r="R59" s="38"/>
      <c r="S59" s="39"/>
      <c r="T59" s="40" t="s">
        <v>123</v>
      </c>
      <c r="U59" s="32" t="s">
        <v>361</v>
      </c>
      <c r="V59" s="592" t="s">
        <v>171</v>
      </c>
      <c r="W59" s="247"/>
      <c r="X59" s="293" t="s">
        <v>49</v>
      </c>
      <c r="Y59" s="589" t="s">
        <v>43</v>
      </c>
      <c r="Z59" s="247"/>
      <c r="AA59" s="247"/>
      <c r="AB59" s="247"/>
    </row>
    <row r="60" spans="1:28" ht="16.5" thickTop="1" thickBot="1" x14ac:dyDescent="0.3">
      <c r="A60" s="219" t="s">
        <v>116</v>
      </c>
      <c r="B60" s="75" t="s">
        <v>285</v>
      </c>
      <c r="C60" s="75">
        <v>28</v>
      </c>
      <c r="D60" s="75" t="s">
        <v>70</v>
      </c>
      <c r="E60" s="207">
        <v>0</v>
      </c>
      <c r="F60" s="208">
        <v>1</v>
      </c>
      <c r="G60" s="222">
        <f t="shared" si="20"/>
        <v>0</v>
      </c>
      <c r="H60" s="65">
        <v>0</v>
      </c>
      <c r="I60" s="92">
        <f t="shared" si="21"/>
        <v>0</v>
      </c>
      <c r="J60" s="73">
        <f t="shared" si="22"/>
        <v>0</v>
      </c>
      <c r="K60" s="77"/>
      <c r="L60" s="67">
        <f>IF( $B$3 = 1,  G60,H60 )</f>
        <v>0</v>
      </c>
      <c r="M60" s="93">
        <f t="shared" si="23"/>
        <v>0</v>
      </c>
      <c r="N60" s="66">
        <f t="shared" si="23"/>
        <v>0</v>
      </c>
      <c r="O60" s="83" t="str">
        <f>+A60</f>
        <v>SENCOR 75 DF</v>
      </c>
      <c r="P60" s="144"/>
      <c r="Q60" s="81"/>
      <c r="R60" s="38"/>
      <c r="S60" s="39"/>
      <c r="T60" s="40"/>
      <c r="U60" s="32" t="s">
        <v>361</v>
      </c>
      <c r="V60" s="592" t="s">
        <v>171</v>
      </c>
      <c r="W60" s="247"/>
      <c r="X60" s="293" t="s">
        <v>49</v>
      </c>
      <c r="Y60" s="589" t="s">
        <v>43</v>
      </c>
      <c r="Z60" s="247" t="s">
        <v>275</v>
      </c>
      <c r="AA60" s="247"/>
      <c r="AB60" s="247"/>
    </row>
    <row r="61" spans="1:28" ht="16.5" thickTop="1" thickBot="1" x14ac:dyDescent="0.3">
      <c r="A61" s="219" t="s">
        <v>90</v>
      </c>
      <c r="B61" s="75" t="s">
        <v>91</v>
      </c>
      <c r="C61" s="75">
        <v>1323</v>
      </c>
      <c r="D61" s="75" t="s">
        <v>70</v>
      </c>
      <c r="E61" s="207">
        <v>0</v>
      </c>
      <c r="F61" s="75">
        <v>1</v>
      </c>
      <c r="G61" s="222">
        <f t="shared" si="20"/>
        <v>0</v>
      </c>
      <c r="H61" s="65">
        <v>0</v>
      </c>
      <c r="I61" s="92">
        <f t="shared" si="21"/>
        <v>0</v>
      </c>
      <c r="J61" s="73">
        <f t="shared" si="22"/>
        <v>0</v>
      </c>
      <c r="K61" s="77"/>
      <c r="L61" s="67">
        <f>IF( $B$3 = 1,  G61,H61 )</f>
        <v>0</v>
      </c>
      <c r="M61" s="93">
        <f t="shared" si="23"/>
        <v>0</v>
      </c>
      <c r="N61" s="66">
        <f t="shared" si="23"/>
        <v>0</v>
      </c>
      <c r="O61" s="83" t="str">
        <f>+A61</f>
        <v>STRESS SHIELD</v>
      </c>
      <c r="P61" s="144"/>
      <c r="Q61" s="81"/>
      <c r="R61" s="38"/>
      <c r="S61" s="39"/>
      <c r="T61" s="40"/>
      <c r="U61" s="32" t="s">
        <v>361</v>
      </c>
      <c r="V61" s="592" t="s">
        <v>171</v>
      </c>
      <c r="W61" s="247"/>
      <c r="X61" s="293" t="s">
        <v>51</v>
      </c>
      <c r="Y61" s="589" t="s">
        <v>44</v>
      </c>
      <c r="Z61" s="247"/>
      <c r="AA61" s="247"/>
      <c r="AB61" s="247"/>
    </row>
    <row r="62" spans="1:28" ht="16.5" thickTop="1" thickBot="1" x14ac:dyDescent="0.3">
      <c r="A62" s="75" t="s">
        <v>115</v>
      </c>
      <c r="B62" s="75" t="s">
        <v>154</v>
      </c>
      <c r="C62" s="75">
        <v>10</v>
      </c>
      <c r="D62" s="75" t="s">
        <v>70</v>
      </c>
      <c r="E62" s="207">
        <v>0</v>
      </c>
      <c r="F62" s="75">
        <v>1</v>
      </c>
      <c r="G62" s="222">
        <f t="shared" si="20"/>
        <v>0</v>
      </c>
      <c r="H62" s="65">
        <v>0</v>
      </c>
      <c r="I62" s="92">
        <f t="shared" si="21"/>
        <v>0</v>
      </c>
      <c r="J62" s="73">
        <f t="shared" si="22"/>
        <v>0</v>
      </c>
      <c r="K62" s="77"/>
      <c r="L62" s="67">
        <f>IF( $B$3 = 1,  G62,H62 )</f>
        <v>0</v>
      </c>
      <c r="M62" s="93">
        <f t="shared" si="23"/>
        <v>0</v>
      </c>
      <c r="N62" s="66">
        <f t="shared" si="23"/>
        <v>0</v>
      </c>
      <c r="O62" s="83" t="str">
        <f>+A62</f>
        <v>SIVANTO PRIME</v>
      </c>
      <c r="P62" s="144"/>
      <c r="Q62" s="81"/>
      <c r="R62" s="38"/>
      <c r="S62" s="39"/>
      <c r="T62" s="40"/>
      <c r="U62" s="32" t="s">
        <v>361</v>
      </c>
      <c r="V62" s="592" t="s">
        <v>171</v>
      </c>
      <c r="W62" s="247"/>
      <c r="X62" s="293" t="s">
        <v>50</v>
      </c>
      <c r="Y62" s="589" t="s">
        <v>132</v>
      </c>
      <c r="Z62" s="247"/>
      <c r="AA62" s="247"/>
      <c r="AB62" s="247"/>
    </row>
    <row r="63" spans="1:28" ht="16.5" thickTop="1" thickBot="1" x14ac:dyDescent="0.3">
      <c r="A63" s="219" t="s">
        <v>92</v>
      </c>
      <c r="B63" s="75" t="s">
        <v>93</v>
      </c>
      <c r="C63" s="75">
        <v>20</v>
      </c>
      <c r="D63" s="75" t="s">
        <v>70</v>
      </c>
      <c r="E63" s="207">
        <v>0</v>
      </c>
      <c r="F63" s="75">
        <v>1</v>
      </c>
      <c r="G63" s="222">
        <f t="shared" si="20"/>
        <v>0</v>
      </c>
      <c r="H63" s="65">
        <v>0</v>
      </c>
      <c r="I63" s="92">
        <f t="shared" si="21"/>
        <v>0</v>
      </c>
      <c r="J63" s="73">
        <f t="shared" si="22"/>
        <v>0</v>
      </c>
      <c r="K63" s="77"/>
      <c r="L63" s="67"/>
      <c r="M63" s="93"/>
      <c r="N63" s="66"/>
      <c r="O63" s="83"/>
      <c r="P63" s="144"/>
      <c r="Q63" s="81"/>
      <c r="R63" s="38"/>
      <c r="S63" s="39"/>
      <c r="T63" s="40"/>
      <c r="U63" s="32" t="s">
        <v>361</v>
      </c>
      <c r="V63" s="592" t="s">
        <v>171</v>
      </c>
      <c r="W63" s="247"/>
      <c r="X63" s="293" t="s">
        <v>49</v>
      </c>
      <c r="Y63" s="589" t="s">
        <v>33</v>
      </c>
      <c r="Z63" s="247"/>
      <c r="AA63" s="247"/>
      <c r="AB63" s="247"/>
    </row>
    <row r="64" spans="1:28" ht="16.5" thickTop="1" thickBot="1" x14ac:dyDescent="0.3">
      <c r="A64" s="219" t="s">
        <v>92</v>
      </c>
      <c r="B64" s="75" t="s">
        <v>94</v>
      </c>
      <c r="C64" s="75">
        <v>320</v>
      </c>
      <c r="D64" s="75" t="s">
        <v>72</v>
      </c>
      <c r="E64" s="207">
        <v>0</v>
      </c>
      <c r="F64" s="75">
        <v>16</v>
      </c>
      <c r="G64" s="222">
        <f t="shared" si="20"/>
        <v>0</v>
      </c>
      <c r="H64" s="65">
        <v>0</v>
      </c>
      <c r="I64" s="92">
        <f t="shared" si="21"/>
        <v>0</v>
      </c>
      <c r="J64" s="73">
        <f t="shared" si="22"/>
        <v>0</v>
      </c>
      <c r="K64" s="77"/>
      <c r="L64" s="67"/>
      <c r="M64" s="93"/>
      <c r="N64" s="66"/>
      <c r="O64" s="83"/>
      <c r="P64" s="144"/>
      <c r="Q64" s="81"/>
      <c r="R64" s="38"/>
      <c r="S64" s="39"/>
      <c r="T64" s="40"/>
      <c r="U64" s="32" t="s">
        <v>361</v>
      </c>
      <c r="V64" s="592" t="s">
        <v>171</v>
      </c>
      <c r="W64" s="247"/>
      <c r="X64" s="293" t="s">
        <v>49</v>
      </c>
      <c r="Y64" s="589" t="s">
        <v>229</v>
      </c>
      <c r="Z64" s="247"/>
      <c r="AA64" s="247"/>
      <c r="AB64" s="247"/>
    </row>
    <row r="65" spans="1:28" ht="16.5" thickTop="1" thickBot="1" x14ac:dyDescent="0.3">
      <c r="A65" s="219" t="s">
        <v>92</v>
      </c>
      <c r="B65" s="75" t="s">
        <v>95</v>
      </c>
      <c r="C65" s="75">
        <v>1000</v>
      </c>
      <c r="D65" s="75" t="s">
        <v>72</v>
      </c>
      <c r="E65" s="207">
        <v>0</v>
      </c>
      <c r="F65" s="75">
        <v>50</v>
      </c>
      <c r="G65" s="222">
        <f t="shared" si="20"/>
        <v>0</v>
      </c>
      <c r="H65" s="65">
        <v>0</v>
      </c>
      <c r="I65" s="92">
        <f t="shared" si="21"/>
        <v>0</v>
      </c>
      <c r="J65" s="73">
        <f t="shared" si="22"/>
        <v>0</v>
      </c>
      <c r="K65" s="77"/>
      <c r="L65" s="67">
        <f>IF( $B$3 = 1,  SUM(G63:G65), SUM(H63:H65) )</f>
        <v>0</v>
      </c>
      <c r="M65" s="93">
        <f>SUM(I63:I65)</f>
        <v>0</v>
      </c>
      <c r="N65" s="66">
        <f>SUM(J63:J65)</f>
        <v>0</v>
      </c>
      <c r="O65" s="83" t="str">
        <f>+A65</f>
        <v>THUMPER</v>
      </c>
      <c r="P65" s="144"/>
      <c r="Q65" s="81"/>
      <c r="R65" s="38"/>
      <c r="S65" s="39"/>
      <c r="T65" s="40"/>
      <c r="U65" s="32" t="s">
        <v>361</v>
      </c>
      <c r="V65" s="592" t="s">
        <v>171</v>
      </c>
      <c r="W65" s="247"/>
      <c r="X65" s="293" t="s">
        <v>49</v>
      </c>
      <c r="Y65" s="589" t="s">
        <v>230</v>
      </c>
      <c r="Z65" s="247"/>
      <c r="AA65" s="247"/>
      <c r="AB65" s="247"/>
    </row>
    <row r="66" spans="1:28" ht="16.5" thickTop="1" thickBot="1" x14ac:dyDescent="0.3">
      <c r="A66" s="219" t="s">
        <v>222</v>
      </c>
      <c r="B66" s="75" t="s">
        <v>262</v>
      </c>
      <c r="C66" s="75">
        <v>40</v>
      </c>
      <c r="D66" s="75" t="s">
        <v>70</v>
      </c>
      <c r="E66" s="207">
        <v>0</v>
      </c>
      <c r="F66" s="75">
        <v>1</v>
      </c>
      <c r="G66" s="222">
        <f t="shared" ref="G66" si="24">IF(B$3 =1, H66*C66, H66/C66)</f>
        <v>0</v>
      </c>
      <c r="H66" s="65">
        <v>0</v>
      </c>
      <c r="I66" s="92">
        <f t="shared" ref="I66" si="25">IF(B$3 = 1, H66*E66, (H66/C66) *E66)</f>
        <v>0</v>
      </c>
      <c r="J66" s="73">
        <f t="shared" ref="J66" si="26">IF($B$3 =1, H66*F66, (H66/C66) *F66)</f>
        <v>0</v>
      </c>
      <c r="K66" s="77"/>
      <c r="L66" s="67">
        <f>IF( $B$3 = 1,  G66,H66 )</f>
        <v>0</v>
      </c>
      <c r="M66" s="93">
        <f t="shared" ref="M66" si="27">+I66</f>
        <v>0</v>
      </c>
      <c r="N66" s="66">
        <f t="shared" ref="N66" si="28">+J66</f>
        <v>0</v>
      </c>
      <c r="O66" s="83" t="str">
        <f>+A66</f>
        <v>TILMOR</v>
      </c>
      <c r="P66" s="144"/>
      <c r="Q66" s="81"/>
      <c r="R66" s="38"/>
      <c r="S66" s="39"/>
      <c r="T66" s="40"/>
      <c r="U66" s="32" t="s">
        <v>361</v>
      </c>
      <c r="V66" s="592" t="s">
        <v>171</v>
      </c>
      <c r="W66" s="247"/>
      <c r="X66" s="293" t="s">
        <v>50</v>
      </c>
      <c r="Y66" s="589" t="s">
        <v>263</v>
      </c>
      <c r="Z66" s="247"/>
      <c r="AA66" s="247"/>
      <c r="AB66" s="247"/>
    </row>
    <row r="67" spans="1:28" ht="16.5" thickTop="1" thickBot="1" x14ac:dyDescent="0.3">
      <c r="A67" s="219" t="s">
        <v>96</v>
      </c>
      <c r="B67" s="75" t="s">
        <v>97</v>
      </c>
      <c r="C67" s="75">
        <v>110</v>
      </c>
      <c r="D67" s="75" t="s">
        <v>70</v>
      </c>
      <c r="E67" s="207">
        <v>0</v>
      </c>
      <c r="F67" s="75">
        <v>1</v>
      </c>
      <c r="G67" s="222">
        <f t="shared" si="20"/>
        <v>0</v>
      </c>
      <c r="H67" s="65">
        <v>0</v>
      </c>
      <c r="I67" s="92">
        <f t="shared" si="21"/>
        <v>0</v>
      </c>
      <c r="J67" s="73">
        <f t="shared" si="22"/>
        <v>0</v>
      </c>
      <c r="K67" s="77"/>
      <c r="L67" s="67"/>
      <c r="M67" s="93"/>
      <c r="N67" s="66"/>
      <c r="O67" s="83"/>
      <c r="P67" s="144"/>
      <c r="Q67" s="81"/>
      <c r="R67" s="38"/>
      <c r="S67" s="39"/>
      <c r="T67" s="40"/>
      <c r="U67" s="32" t="s">
        <v>361</v>
      </c>
      <c r="V67" s="592" t="s">
        <v>171</v>
      </c>
      <c r="W67" s="247"/>
      <c r="X67" s="293" t="s">
        <v>51</v>
      </c>
      <c r="Y67" s="589" t="s">
        <v>249</v>
      </c>
      <c r="Z67" s="247"/>
      <c r="AA67" s="247"/>
      <c r="AB67" s="247"/>
    </row>
    <row r="68" spans="1:28" ht="16.5" thickTop="1" thickBot="1" x14ac:dyDescent="0.3">
      <c r="A68" s="75" t="s">
        <v>96</v>
      </c>
      <c r="B68" s="75" t="s">
        <v>26</v>
      </c>
      <c r="C68" s="236">
        <v>475.93</v>
      </c>
      <c r="D68" s="75" t="s">
        <v>72</v>
      </c>
      <c r="E68" s="207">
        <v>0</v>
      </c>
      <c r="F68" s="75">
        <v>4.3266999999999998</v>
      </c>
      <c r="G68" s="222">
        <f t="shared" si="20"/>
        <v>0</v>
      </c>
      <c r="H68" s="65">
        <v>0</v>
      </c>
      <c r="I68" s="92">
        <f t="shared" si="21"/>
        <v>0</v>
      </c>
      <c r="J68" s="73">
        <f t="shared" si="22"/>
        <v>0</v>
      </c>
      <c r="K68" s="77"/>
      <c r="L68" s="67">
        <f>IF( $B$3 = 1,  SUM(G67:G68), SUM(H67:H68) )</f>
        <v>0</v>
      </c>
      <c r="M68" s="93">
        <f>SUM(I67:I68)</f>
        <v>0</v>
      </c>
      <c r="N68" s="66">
        <f>SUM(J67:J68)</f>
        <v>0</v>
      </c>
      <c r="O68" s="83" t="str">
        <f>+A67</f>
        <v>TRILEX EVERGOL</v>
      </c>
      <c r="P68" s="144"/>
      <c r="Q68" s="81"/>
      <c r="R68" s="38"/>
      <c r="S68" s="39"/>
      <c r="T68" s="40"/>
      <c r="U68" s="32" t="s">
        <v>361</v>
      </c>
      <c r="V68" s="592" t="s">
        <v>171</v>
      </c>
      <c r="W68" s="247"/>
      <c r="X68" s="293" t="s">
        <v>51</v>
      </c>
      <c r="Y68" s="589" t="s">
        <v>250</v>
      </c>
      <c r="Z68" s="247"/>
      <c r="AA68" s="247"/>
      <c r="AB68" s="247"/>
    </row>
    <row r="69" spans="1:28" ht="16.5" thickTop="1" thickBot="1" x14ac:dyDescent="0.3">
      <c r="A69" s="219" t="s">
        <v>98</v>
      </c>
      <c r="B69" s="75" t="s">
        <v>99</v>
      </c>
      <c r="C69" s="75">
        <v>110</v>
      </c>
      <c r="D69" s="75" t="s">
        <v>70</v>
      </c>
      <c r="E69" s="207">
        <v>0</v>
      </c>
      <c r="F69" s="75">
        <v>1</v>
      </c>
      <c r="G69" s="222">
        <f t="shared" si="20"/>
        <v>0</v>
      </c>
      <c r="H69" s="65">
        <v>0</v>
      </c>
      <c r="I69" s="92">
        <f t="shared" si="21"/>
        <v>0</v>
      </c>
      <c r="J69" s="73">
        <f t="shared" si="22"/>
        <v>0</v>
      </c>
      <c r="K69" s="77"/>
      <c r="L69" s="67">
        <f>IF( $B$3 = 1,  G69,H69 )</f>
        <v>0</v>
      </c>
      <c r="M69" s="93">
        <f t="shared" ref="M69" si="29">+I69</f>
        <v>0</v>
      </c>
      <c r="N69" s="66">
        <f t="shared" ref="N69" si="30">+J69</f>
        <v>0</v>
      </c>
      <c r="O69" s="83" t="str">
        <f>+A69</f>
        <v>TRILEX EVERGOL SHIELD</v>
      </c>
      <c r="P69" s="144"/>
      <c r="Q69" s="81"/>
      <c r="R69" s="38"/>
      <c r="S69" s="39"/>
      <c r="T69" s="40"/>
      <c r="U69" s="32" t="s">
        <v>361</v>
      </c>
      <c r="V69" s="592" t="s">
        <v>171</v>
      </c>
      <c r="W69" s="247"/>
      <c r="X69" s="293" t="s">
        <v>51</v>
      </c>
      <c r="Y69" s="589" t="s">
        <v>251</v>
      </c>
      <c r="Z69" s="247"/>
      <c r="AA69" s="247"/>
      <c r="AB69" s="247"/>
    </row>
    <row r="70" spans="1:28" ht="16.5" thickTop="1" thickBot="1" x14ac:dyDescent="0.3">
      <c r="A70" s="219" t="s">
        <v>100</v>
      </c>
      <c r="B70" s="75" t="s">
        <v>21</v>
      </c>
      <c r="C70" s="75">
        <v>10</v>
      </c>
      <c r="D70" s="75" t="s">
        <v>70</v>
      </c>
      <c r="E70" s="207">
        <v>0</v>
      </c>
      <c r="F70" s="75">
        <v>1</v>
      </c>
      <c r="G70" s="222">
        <f t="shared" si="20"/>
        <v>0</v>
      </c>
      <c r="H70" s="65">
        <v>0</v>
      </c>
      <c r="I70" s="92">
        <f t="shared" si="21"/>
        <v>0</v>
      </c>
      <c r="J70" s="73">
        <f t="shared" si="22"/>
        <v>0</v>
      </c>
      <c r="K70" s="77"/>
      <c r="L70" s="67"/>
      <c r="M70" s="93"/>
      <c r="N70" s="66"/>
      <c r="O70" s="83"/>
      <c r="P70" s="144"/>
      <c r="Q70" s="81"/>
      <c r="R70" s="38"/>
      <c r="S70" s="39"/>
      <c r="T70" s="40"/>
      <c r="U70" s="32" t="s">
        <v>361</v>
      </c>
      <c r="V70" s="592" t="s">
        <v>171</v>
      </c>
      <c r="W70" s="247"/>
      <c r="X70" s="293" t="s">
        <v>49</v>
      </c>
      <c r="Y70" s="589" t="s">
        <v>36</v>
      </c>
      <c r="Z70" s="247"/>
      <c r="AA70" s="247"/>
      <c r="AB70" s="247"/>
    </row>
    <row r="71" spans="1:28" ht="16.5" thickTop="1" thickBot="1" x14ac:dyDescent="0.3">
      <c r="A71" s="219" t="s">
        <v>100</v>
      </c>
      <c r="B71" s="75" t="s">
        <v>22</v>
      </c>
      <c r="C71" s="75">
        <v>160</v>
      </c>
      <c r="D71" s="75" t="s">
        <v>72</v>
      </c>
      <c r="E71" s="207">
        <v>0</v>
      </c>
      <c r="F71" s="75">
        <v>16</v>
      </c>
      <c r="G71" s="222">
        <f t="shared" si="20"/>
        <v>0</v>
      </c>
      <c r="H71" s="65">
        <v>0</v>
      </c>
      <c r="I71" s="92">
        <f t="shared" si="21"/>
        <v>0</v>
      </c>
      <c r="J71" s="73">
        <f t="shared" si="22"/>
        <v>0</v>
      </c>
      <c r="K71" s="77"/>
      <c r="L71" s="67"/>
      <c r="M71" s="93"/>
      <c r="N71" s="66"/>
      <c r="O71" s="83"/>
      <c r="P71" s="144"/>
      <c r="Q71" s="81"/>
      <c r="R71" s="38"/>
      <c r="S71" s="39"/>
      <c r="T71" s="40"/>
      <c r="U71" s="32" t="s">
        <v>361</v>
      </c>
      <c r="V71" s="592" t="s">
        <v>171</v>
      </c>
      <c r="W71" s="247"/>
      <c r="X71" s="293" t="s">
        <v>49</v>
      </c>
      <c r="Y71" s="589" t="s">
        <v>238</v>
      </c>
      <c r="Z71" s="247"/>
      <c r="AA71" s="247"/>
      <c r="AB71" s="247"/>
    </row>
    <row r="72" spans="1:28" ht="16.5" thickTop="1" thickBot="1" x14ac:dyDescent="0.3">
      <c r="A72" s="219" t="s">
        <v>100</v>
      </c>
      <c r="B72" s="75" t="s">
        <v>23</v>
      </c>
      <c r="C72" s="75">
        <v>500</v>
      </c>
      <c r="D72" s="75" t="s">
        <v>72</v>
      </c>
      <c r="E72" s="207">
        <v>0</v>
      </c>
      <c r="F72" s="75">
        <v>50</v>
      </c>
      <c r="G72" s="222">
        <f t="shared" si="20"/>
        <v>0</v>
      </c>
      <c r="H72" s="65">
        <v>0</v>
      </c>
      <c r="I72" s="92">
        <f t="shared" si="21"/>
        <v>0</v>
      </c>
      <c r="J72" s="73">
        <f t="shared" si="22"/>
        <v>0</v>
      </c>
      <c r="K72" s="77"/>
      <c r="L72" s="67">
        <f>IF( $B$3 = 1,  SUM(G70:G72), SUM(H70:H72) )</f>
        <v>0</v>
      </c>
      <c r="M72" s="93">
        <f>SUM(I70:I72)</f>
        <v>0</v>
      </c>
      <c r="N72" s="66">
        <f>SUM(J70:J72)</f>
        <v>0</v>
      </c>
      <c r="O72" s="83" t="str">
        <f>+A72</f>
        <v>TUNDRA</v>
      </c>
      <c r="P72" s="144"/>
      <c r="Q72" s="81"/>
      <c r="R72" s="38"/>
      <c r="S72" s="39"/>
      <c r="T72" s="40"/>
      <c r="U72" s="32" t="s">
        <v>361</v>
      </c>
      <c r="V72" s="592" t="s">
        <v>171</v>
      </c>
      <c r="W72" s="247"/>
      <c r="X72" s="293" t="s">
        <v>49</v>
      </c>
      <c r="Y72" s="589" t="s">
        <v>237</v>
      </c>
      <c r="Z72" s="247"/>
      <c r="AA72" s="247"/>
      <c r="AB72" s="247"/>
    </row>
    <row r="73" spans="1:28" ht="16.5" thickTop="1" thickBot="1" x14ac:dyDescent="0.3">
      <c r="A73" s="219" t="s">
        <v>101</v>
      </c>
      <c r="B73" s="75" t="s">
        <v>27</v>
      </c>
      <c r="C73" s="75">
        <v>40</v>
      </c>
      <c r="D73" s="75" t="s">
        <v>70</v>
      </c>
      <c r="E73" s="207">
        <v>0</v>
      </c>
      <c r="F73" s="75">
        <v>1</v>
      </c>
      <c r="G73" s="222">
        <f t="shared" si="20"/>
        <v>0</v>
      </c>
      <c r="H73" s="65">
        <v>0</v>
      </c>
      <c r="I73" s="92">
        <f t="shared" si="21"/>
        <v>0</v>
      </c>
      <c r="J73" s="73">
        <f t="shared" si="22"/>
        <v>0</v>
      </c>
      <c r="K73" s="77"/>
      <c r="L73" s="67"/>
      <c r="M73" s="93"/>
      <c r="N73" s="66"/>
      <c r="O73" s="83" t="s">
        <v>126</v>
      </c>
      <c r="P73" s="144"/>
      <c r="Q73" s="81"/>
      <c r="R73" s="38"/>
      <c r="S73" s="39"/>
      <c r="T73" s="40"/>
      <c r="U73" s="32" t="s">
        <v>361</v>
      </c>
      <c r="V73" s="592" t="s">
        <v>171</v>
      </c>
      <c r="W73" s="247"/>
      <c r="X73" s="293" t="s">
        <v>49</v>
      </c>
      <c r="Y73" s="589" t="s">
        <v>33</v>
      </c>
      <c r="Z73" s="247"/>
      <c r="AA73" s="247"/>
      <c r="AB73" s="247"/>
    </row>
    <row r="74" spans="1:28" ht="16.5" thickTop="1" thickBot="1" x14ac:dyDescent="0.3">
      <c r="A74" s="219" t="s">
        <v>101</v>
      </c>
      <c r="B74" s="75" t="s">
        <v>169</v>
      </c>
      <c r="C74" s="75">
        <v>640</v>
      </c>
      <c r="D74" s="75" t="s">
        <v>72</v>
      </c>
      <c r="E74" s="207">
        <v>0</v>
      </c>
      <c r="F74" s="75">
        <v>16</v>
      </c>
      <c r="G74" s="222">
        <f t="shared" si="20"/>
        <v>0</v>
      </c>
      <c r="H74" s="65">
        <v>0</v>
      </c>
      <c r="I74" s="92">
        <f t="shared" si="21"/>
        <v>0</v>
      </c>
      <c r="J74" s="73">
        <f t="shared" si="22"/>
        <v>0</v>
      </c>
      <c r="K74" s="77"/>
      <c r="L74" s="67">
        <f>IF( $B$3 = 1,  SUM(G73:G74), SUM(H73:H74) )</f>
        <v>0</v>
      </c>
      <c r="M74" s="93">
        <f>SUM(I73:I74)</f>
        <v>0</v>
      </c>
      <c r="N74" s="66">
        <f>SUM(J73:J74)</f>
        <v>0</v>
      </c>
      <c r="O74" s="83" t="str">
        <f>+A74</f>
        <v>VARRO</v>
      </c>
      <c r="P74" s="144"/>
      <c r="Q74" s="81"/>
      <c r="R74" s="38"/>
      <c r="S74" s="39"/>
      <c r="T74" s="40"/>
      <c r="U74" s="32" t="s">
        <v>361</v>
      </c>
      <c r="V74" s="592" t="s">
        <v>171</v>
      </c>
      <c r="W74" s="247"/>
      <c r="X74" s="293" t="s">
        <v>49</v>
      </c>
      <c r="Y74" s="589" t="s">
        <v>229</v>
      </c>
      <c r="Z74" s="247"/>
      <c r="AA74" s="247"/>
      <c r="AB74" s="247"/>
    </row>
    <row r="75" spans="1:28" ht="16.5" thickTop="1" thickBot="1" x14ac:dyDescent="0.3">
      <c r="A75" s="219" t="s">
        <v>119</v>
      </c>
      <c r="B75" s="75" t="s">
        <v>270</v>
      </c>
      <c r="C75" s="75">
        <v>20</v>
      </c>
      <c r="D75" s="75" t="s">
        <v>70</v>
      </c>
      <c r="E75" s="207">
        <v>0</v>
      </c>
      <c r="F75" s="75">
        <v>1</v>
      </c>
      <c r="G75" s="222">
        <f t="shared" si="20"/>
        <v>0</v>
      </c>
      <c r="H75" s="65">
        <v>0</v>
      </c>
      <c r="I75" s="92">
        <f t="shared" si="21"/>
        <v>0</v>
      </c>
      <c r="J75" s="73">
        <f t="shared" si="22"/>
        <v>0</v>
      </c>
      <c r="K75" s="77"/>
      <c r="L75" s="67">
        <f>IF( $B$3 = 1,  G75,H75 )</f>
        <v>0</v>
      </c>
      <c r="M75" s="93">
        <f>+I75</f>
        <v>0</v>
      </c>
      <c r="N75" s="66">
        <f>+J75</f>
        <v>0</v>
      </c>
      <c r="O75" s="83" t="str">
        <f>+A75</f>
        <v>VELUM PRIME</v>
      </c>
      <c r="P75" s="144"/>
      <c r="Q75" s="81"/>
      <c r="R75" s="38"/>
      <c r="S75" s="39"/>
      <c r="T75" s="40"/>
      <c r="U75" s="32" t="s">
        <v>361</v>
      </c>
      <c r="V75" s="592" t="s">
        <v>171</v>
      </c>
      <c r="W75" s="247"/>
      <c r="X75" s="293" t="s">
        <v>50</v>
      </c>
      <c r="Y75" s="589" t="s">
        <v>135</v>
      </c>
      <c r="Z75" s="247"/>
      <c r="AA75" s="247"/>
      <c r="AB75" s="247"/>
    </row>
    <row r="76" spans="1:28" ht="16.5" thickTop="1" thickBot="1" x14ac:dyDescent="0.3">
      <c r="A76" s="219" t="s">
        <v>102</v>
      </c>
      <c r="B76" s="75" t="s">
        <v>24</v>
      </c>
      <c r="C76" s="75">
        <v>20</v>
      </c>
      <c r="D76" s="75" t="s">
        <v>70</v>
      </c>
      <c r="E76" s="207">
        <v>0</v>
      </c>
      <c r="F76" s="75">
        <v>1</v>
      </c>
      <c r="G76" s="222">
        <f t="shared" si="20"/>
        <v>0</v>
      </c>
      <c r="H76" s="65">
        <v>0</v>
      </c>
      <c r="I76" s="92">
        <f t="shared" si="21"/>
        <v>0</v>
      </c>
      <c r="J76" s="73">
        <f t="shared" si="22"/>
        <v>0</v>
      </c>
      <c r="K76" s="77"/>
      <c r="L76" s="67"/>
      <c r="M76" s="93"/>
      <c r="N76" s="66"/>
      <c r="O76" s="83"/>
      <c r="P76" s="144"/>
      <c r="Q76" s="81"/>
      <c r="R76" s="38"/>
      <c r="S76" s="39"/>
      <c r="T76" s="40"/>
      <c r="U76" s="32" t="s">
        <v>361</v>
      </c>
      <c r="V76" s="592" t="s">
        <v>171</v>
      </c>
      <c r="W76" s="247"/>
      <c r="X76" s="293" t="s">
        <v>49</v>
      </c>
      <c r="Y76" s="589" t="s">
        <v>36</v>
      </c>
      <c r="Z76" s="247"/>
      <c r="AA76" s="247"/>
      <c r="AB76" s="247"/>
    </row>
    <row r="77" spans="1:28" ht="16.5" thickTop="1" thickBot="1" x14ac:dyDescent="0.3">
      <c r="A77" s="219" t="s">
        <v>102</v>
      </c>
      <c r="B77" s="75" t="s">
        <v>25</v>
      </c>
      <c r="C77" s="75">
        <v>320</v>
      </c>
      <c r="D77" s="75" t="s">
        <v>72</v>
      </c>
      <c r="E77" s="207">
        <v>0</v>
      </c>
      <c r="F77" s="75">
        <v>16</v>
      </c>
      <c r="G77" s="222">
        <f t="shared" si="20"/>
        <v>0</v>
      </c>
      <c r="H77" s="65">
        <v>0</v>
      </c>
      <c r="I77" s="92">
        <f t="shared" si="21"/>
        <v>0</v>
      </c>
      <c r="J77" s="73">
        <f t="shared" si="22"/>
        <v>0</v>
      </c>
      <c r="K77" s="77"/>
      <c r="L77" s="67">
        <f>IF( $B$3 = 1,  SUM(G76:G77), SUM(H76:H77) )</f>
        <v>0</v>
      </c>
      <c r="M77" s="93">
        <f>SUM(I76:I77)</f>
        <v>0</v>
      </c>
      <c r="N77" s="66">
        <f>SUM(J76:J77)</f>
        <v>0</v>
      </c>
      <c r="O77" s="83" t="str">
        <f>+A77</f>
        <v>VELOCITY</v>
      </c>
      <c r="P77" s="144"/>
      <c r="Q77" s="81"/>
      <c r="R77" s="38"/>
      <c r="S77" s="39"/>
      <c r="T77" s="40"/>
      <c r="U77" s="32" t="s">
        <v>361</v>
      </c>
      <c r="V77" s="592" t="s">
        <v>171</v>
      </c>
      <c r="W77" s="247"/>
      <c r="X77" s="293" t="s">
        <v>49</v>
      </c>
      <c r="Y77" s="589" t="s">
        <v>238</v>
      </c>
      <c r="Z77" s="247"/>
      <c r="AA77" s="247"/>
      <c r="AB77" s="247"/>
    </row>
    <row r="78" spans="1:28" ht="16.5" thickTop="1" thickBot="1" x14ac:dyDescent="0.3">
      <c r="A78" s="75" t="s">
        <v>173</v>
      </c>
      <c r="B78" s="75" t="s">
        <v>172</v>
      </c>
      <c r="C78" s="75">
        <v>15</v>
      </c>
      <c r="D78" s="75" t="s">
        <v>70</v>
      </c>
      <c r="E78" s="207">
        <v>0</v>
      </c>
      <c r="F78" s="75">
        <v>1</v>
      </c>
      <c r="G78" s="222">
        <f t="shared" si="20"/>
        <v>0</v>
      </c>
      <c r="H78" s="65">
        <v>0</v>
      </c>
      <c r="I78" s="92">
        <f t="shared" si="21"/>
        <v>0</v>
      </c>
      <c r="J78" s="73">
        <f t="shared" si="22"/>
        <v>0</v>
      </c>
      <c r="K78" s="77"/>
      <c r="L78" s="67"/>
      <c r="M78" s="93"/>
      <c r="N78" s="66"/>
      <c r="O78" s="83"/>
      <c r="P78" s="144"/>
      <c r="Q78" s="81"/>
      <c r="R78" s="38"/>
      <c r="S78" s="39"/>
      <c r="T78" s="40"/>
      <c r="U78" s="32" t="s">
        <v>361</v>
      </c>
      <c r="V78" s="592" t="s">
        <v>171</v>
      </c>
      <c r="W78" s="247"/>
      <c r="X78" s="293" t="s">
        <v>49</v>
      </c>
      <c r="Y78" s="589" t="s">
        <v>42</v>
      </c>
      <c r="Z78" s="247"/>
      <c r="AA78" s="247"/>
      <c r="AB78" s="247"/>
    </row>
    <row r="79" spans="1:28" ht="16.5" thickTop="1" thickBot="1" x14ac:dyDescent="0.3">
      <c r="A79" s="75" t="s">
        <v>173</v>
      </c>
      <c r="B79" s="75" t="s">
        <v>200</v>
      </c>
      <c r="C79" s="75">
        <v>675</v>
      </c>
      <c r="D79" s="75" t="s">
        <v>72</v>
      </c>
      <c r="E79" s="207">
        <v>0</v>
      </c>
      <c r="F79" s="75">
        <v>45</v>
      </c>
      <c r="G79" s="222">
        <f>IF(B$3 =1, H79*C79, H79/C79)</f>
        <v>0</v>
      </c>
      <c r="H79" s="65">
        <v>0</v>
      </c>
      <c r="I79" s="92">
        <f>IF(B$3 = 1, H79*E79, (H79/C79) *E79)</f>
        <v>0</v>
      </c>
      <c r="J79" s="73">
        <f>IF($B$3 =1, H79*F79, (H79/C79) *F79)</f>
        <v>0</v>
      </c>
      <c r="K79" s="77"/>
      <c r="L79" s="67">
        <f>IF( $B$3 = 1,  SUM(G78:G79), SUM(H78:H79) )</f>
        <v>0</v>
      </c>
      <c r="M79" s="93">
        <f>SUM(I78:I79)</f>
        <v>0</v>
      </c>
      <c r="N79" s="66">
        <f>SUM(J78:J79)</f>
        <v>0</v>
      </c>
      <c r="O79" s="83" t="str">
        <f>+A79</f>
        <v>XTENDIMAX</v>
      </c>
      <c r="P79" s="144"/>
      <c r="Q79" s="81"/>
      <c r="R79" s="38"/>
      <c r="S79" s="39"/>
      <c r="T79" s="40"/>
      <c r="U79" s="32" t="s">
        <v>361</v>
      </c>
      <c r="V79" s="592" t="s">
        <v>171</v>
      </c>
      <c r="W79" s="247"/>
      <c r="X79" s="293" t="s">
        <v>49</v>
      </c>
      <c r="Y79" s="589" t="s">
        <v>237</v>
      </c>
      <c r="Z79" s="247"/>
      <c r="AA79" s="247"/>
      <c r="AB79" s="247"/>
    </row>
    <row r="80" spans="1:28" ht="16.5" thickTop="1" thickBot="1" x14ac:dyDescent="0.3">
      <c r="A80" s="75" t="s">
        <v>217</v>
      </c>
      <c r="B80" s="75" t="s">
        <v>218</v>
      </c>
      <c r="C80" s="75">
        <v>50</v>
      </c>
      <c r="D80" s="75" t="s">
        <v>70</v>
      </c>
      <c r="E80" s="207">
        <v>0</v>
      </c>
      <c r="F80" s="75">
        <v>1</v>
      </c>
      <c r="G80" s="222">
        <f>IF(B$3 =1, H80*C80, H80/C80)</f>
        <v>0</v>
      </c>
      <c r="H80" s="65">
        <v>0</v>
      </c>
      <c r="I80" s="92">
        <f>IF(B$3 = 1, H80*E80, (H80/C80) *E80)</f>
        <v>0</v>
      </c>
      <c r="J80" s="73">
        <f>IF($B$3 =1, H80*F80, (H80/C80) *F80)</f>
        <v>0</v>
      </c>
      <c r="K80" s="77"/>
      <c r="L80" s="67">
        <f t="shared" ref="L80:L85" si="31">IF( $B$3 = 1,  G80,H80 )</f>
        <v>0</v>
      </c>
      <c r="M80" s="93">
        <f>+I80</f>
        <v>0</v>
      </c>
      <c r="N80" s="66">
        <f>+J80</f>
        <v>0</v>
      </c>
      <c r="O80" s="83" t="str">
        <f>+A80</f>
        <v>VAYEGO</v>
      </c>
      <c r="P80" s="144"/>
      <c r="Q80" s="81"/>
      <c r="R80" s="38"/>
      <c r="S80" s="39"/>
      <c r="T80" s="40"/>
      <c r="U80" s="32" t="s">
        <v>361</v>
      </c>
      <c r="V80" s="592" t="s">
        <v>171</v>
      </c>
      <c r="W80" s="247"/>
      <c r="X80" s="293" t="s">
        <v>51</v>
      </c>
      <c r="Y80" s="589" t="s">
        <v>209</v>
      </c>
      <c r="Z80" s="247"/>
      <c r="AA80" s="247"/>
      <c r="AB80" s="247"/>
    </row>
    <row r="81" spans="1:28" ht="16.5" thickTop="1" thickBot="1" x14ac:dyDescent="0.3">
      <c r="A81" s="219" t="s">
        <v>29</v>
      </c>
      <c r="B81" s="239" t="s">
        <v>164</v>
      </c>
      <c r="C81" s="75">
        <v>10</v>
      </c>
      <c r="D81" s="208" t="s">
        <v>70</v>
      </c>
      <c r="E81" s="242">
        <v>0</v>
      </c>
      <c r="F81" s="75">
        <v>1</v>
      </c>
      <c r="G81" s="222">
        <f t="shared" si="20"/>
        <v>0</v>
      </c>
      <c r="H81" s="65">
        <v>0</v>
      </c>
      <c r="I81" s="92">
        <f t="shared" si="21"/>
        <v>0</v>
      </c>
      <c r="J81" s="73">
        <f t="shared" si="22"/>
        <v>0</v>
      </c>
      <c r="K81" s="77"/>
      <c r="L81" s="67">
        <f t="shared" si="31"/>
        <v>0</v>
      </c>
      <c r="M81" s="93">
        <f t="shared" ref="M81:N85" si="32">+I81</f>
        <v>0</v>
      </c>
      <c r="N81" s="66">
        <f t="shared" si="32"/>
        <v>0</v>
      </c>
      <c r="O81" s="83" t="str">
        <f>+A81</f>
        <v>Canola Trait</v>
      </c>
      <c r="P81" s="412">
        <v>45944</v>
      </c>
      <c r="Q81" s="81"/>
      <c r="R81" s="38"/>
      <c r="S81" s="39"/>
      <c r="T81" s="40"/>
      <c r="U81" s="32" t="s">
        <v>439</v>
      </c>
      <c r="V81" s="592" t="s">
        <v>353</v>
      </c>
      <c r="W81" s="247"/>
      <c r="X81" s="293" t="s">
        <v>225</v>
      </c>
      <c r="Y81" s="589" t="s">
        <v>252</v>
      </c>
      <c r="Z81" s="247"/>
      <c r="AA81" s="247"/>
      <c r="AB81" s="247"/>
    </row>
    <row r="82" spans="1:28" ht="16.5" thickTop="1" thickBot="1" x14ac:dyDescent="0.3">
      <c r="A82" s="219" t="s">
        <v>31</v>
      </c>
      <c r="B82" s="239" t="s">
        <v>265</v>
      </c>
      <c r="C82" s="75">
        <v>2.5</v>
      </c>
      <c r="D82" s="208" t="s">
        <v>70</v>
      </c>
      <c r="E82" s="242">
        <v>0</v>
      </c>
      <c r="F82" s="75">
        <v>1</v>
      </c>
      <c r="G82" s="222">
        <f>IF(B$3 =1, H82*C82, H82/C82)</f>
        <v>0</v>
      </c>
      <c r="H82" s="65">
        <v>0</v>
      </c>
      <c r="I82" s="92">
        <f t="shared" si="21"/>
        <v>0</v>
      </c>
      <c r="J82" s="73">
        <f t="shared" si="22"/>
        <v>0</v>
      </c>
      <c r="K82" s="77"/>
      <c r="L82" s="67">
        <f t="shared" si="31"/>
        <v>0</v>
      </c>
      <c r="M82" s="93">
        <f t="shared" si="32"/>
        <v>0</v>
      </c>
      <c r="N82" s="66">
        <f t="shared" si="32"/>
        <v>0</v>
      </c>
      <c r="O82" s="83" t="str">
        <f>+A82</f>
        <v>Corn Trait</v>
      </c>
      <c r="P82" s="412">
        <v>45944</v>
      </c>
      <c r="Q82" s="81"/>
      <c r="R82" s="38"/>
      <c r="S82" s="39"/>
      <c r="T82" s="40"/>
      <c r="U82" s="32" t="s">
        <v>439</v>
      </c>
      <c r="V82" s="592" t="s">
        <v>353</v>
      </c>
      <c r="W82" s="247"/>
      <c r="X82" s="293" t="s">
        <v>225</v>
      </c>
      <c r="Y82" s="589" t="s">
        <v>264</v>
      </c>
      <c r="Z82" s="247"/>
      <c r="AA82" s="247"/>
      <c r="AB82" s="247"/>
    </row>
    <row r="83" spans="1:28" ht="16.5" thickTop="1" thickBot="1" x14ac:dyDescent="0.3">
      <c r="A83" s="219" t="s">
        <v>30</v>
      </c>
      <c r="B83" s="239" t="s">
        <v>271</v>
      </c>
      <c r="C83" s="75">
        <v>0.74</v>
      </c>
      <c r="D83" s="208" t="s">
        <v>70</v>
      </c>
      <c r="E83" s="242">
        <v>0</v>
      </c>
      <c r="F83" s="75">
        <v>1</v>
      </c>
      <c r="G83" s="222">
        <f t="shared" si="20"/>
        <v>0</v>
      </c>
      <c r="H83" s="65">
        <v>0</v>
      </c>
      <c r="I83" s="92">
        <f t="shared" si="21"/>
        <v>0</v>
      </c>
      <c r="J83" s="73">
        <f>IF($B$3 =1, H83*F83, (H83/C83) *F83)</f>
        <v>0</v>
      </c>
      <c r="K83" s="77"/>
      <c r="L83" s="67">
        <f t="shared" si="31"/>
        <v>0</v>
      </c>
      <c r="M83" s="93">
        <f t="shared" si="32"/>
        <v>0</v>
      </c>
      <c r="N83" s="66">
        <f t="shared" si="32"/>
        <v>0</v>
      </c>
      <c r="O83" s="83" t="str">
        <f>+A83</f>
        <v>Soybean Trait</v>
      </c>
      <c r="P83" s="412">
        <v>45944</v>
      </c>
      <c r="Q83" s="81"/>
      <c r="R83" s="38"/>
      <c r="S83" s="39"/>
      <c r="T83" s="40"/>
      <c r="U83" s="32" t="s">
        <v>439</v>
      </c>
      <c r="V83" s="592" t="s">
        <v>353</v>
      </c>
      <c r="W83" s="247"/>
      <c r="X83" s="293" t="s">
        <v>225</v>
      </c>
      <c r="Y83" s="589" t="s">
        <v>272</v>
      </c>
      <c r="Z83" s="247"/>
      <c r="AA83" s="247"/>
      <c r="AB83" s="247"/>
    </row>
    <row r="84" spans="1:28" ht="16.5" hidden="1" thickTop="1" thickBot="1" x14ac:dyDescent="0.3">
      <c r="A84" s="229" t="s">
        <v>124</v>
      </c>
      <c r="B84" s="230" t="s">
        <v>162</v>
      </c>
      <c r="C84" s="231">
        <v>60</v>
      </c>
      <c r="D84" s="191" t="s">
        <v>70</v>
      </c>
      <c r="E84" s="192">
        <v>0</v>
      </c>
      <c r="F84" s="232">
        <v>1</v>
      </c>
      <c r="G84" s="89">
        <f>IF(B$3 =1, H84*C84, H84/C84)</f>
        <v>0</v>
      </c>
      <c r="H84" s="65">
        <v>0</v>
      </c>
      <c r="I84" s="92">
        <f t="shared" si="21"/>
        <v>0</v>
      </c>
      <c r="J84" s="73">
        <f>IF($B$3 =1, H84*F84, (H84/C84) *F84)</f>
        <v>0</v>
      </c>
      <c r="K84" s="77"/>
      <c r="L84" s="67">
        <f t="shared" si="31"/>
        <v>0</v>
      </c>
      <c r="M84" s="93" t="s">
        <v>126</v>
      </c>
      <c r="N84" s="66">
        <f t="shared" si="32"/>
        <v>0</v>
      </c>
      <c r="O84" s="83"/>
      <c r="P84" s="243"/>
      <c r="Q84" s="81" t="s">
        <v>191</v>
      </c>
      <c r="R84" s="38"/>
      <c r="S84" s="39"/>
      <c r="T84" s="40"/>
      <c r="U84" s="32" t="s">
        <v>347</v>
      </c>
      <c r="V84" s="32" t="s">
        <v>171</v>
      </c>
      <c r="X84" s="33" t="s">
        <v>49</v>
      </c>
    </row>
    <row r="85" spans="1:28" ht="16.5" hidden="1" thickTop="1" thickBot="1" x14ac:dyDescent="0.3">
      <c r="A85" s="43" t="s">
        <v>124</v>
      </c>
      <c r="B85" s="140" t="s">
        <v>141</v>
      </c>
      <c r="C85" s="37">
        <v>320</v>
      </c>
      <c r="D85" s="34" t="s">
        <v>72</v>
      </c>
      <c r="E85" s="42">
        <v>0</v>
      </c>
      <c r="F85" s="147">
        <v>5.33</v>
      </c>
      <c r="G85" s="89">
        <f t="shared" si="20"/>
        <v>0</v>
      </c>
      <c r="H85" s="65">
        <v>0</v>
      </c>
      <c r="I85" s="92">
        <f t="shared" si="21"/>
        <v>0</v>
      </c>
      <c r="J85" s="73">
        <f t="shared" ref="J85:J106" si="33">IF($B$3 =1, H85*F85, (H85/C85) *F85)</f>
        <v>0</v>
      </c>
      <c r="K85" s="77"/>
      <c r="L85" s="67">
        <f t="shared" si="31"/>
        <v>0</v>
      </c>
      <c r="M85" s="93">
        <f>+I84+I85</f>
        <v>0</v>
      </c>
      <c r="N85" s="66">
        <f t="shared" si="32"/>
        <v>0</v>
      </c>
      <c r="O85" s="83" t="str">
        <f>+A85</f>
        <v>BlackHawk</v>
      </c>
      <c r="P85" s="243"/>
      <c r="Q85" s="67">
        <f>IF( $B$3 = 1,  SUM($G84:$G85), SUM($H84:$H85) )</f>
        <v>0</v>
      </c>
      <c r="R85" s="66">
        <f>+$J84+$J85</f>
        <v>0</v>
      </c>
      <c r="S85" s="39"/>
      <c r="T85" s="40"/>
      <c r="U85" s="32" t="s">
        <v>347</v>
      </c>
      <c r="V85" s="32" t="s">
        <v>171</v>
      </c>
      <c r="X85" s="33" t="s">
        <v>49</v>
      </c>
    </row>
    <row r="86" spans="1:28" ht="16.5" hidden="1" thickTop="1" thickBot="1" x14ac:dyDescent="0.3">
      <c r="A86" s="43" t="s">
        <v>140</v>
      </c>
      <c r="B86" s="140" t="s">
        <v>159</v>
      </c>
      <c r="C86" s="37">
        <v>160</v>
      </c>
      <c r="D86" s="34" t="s">
        <v>70</v>
      </c>
      <c r="E86" s="42">
        <v>0</v>
      </c>
      <c r="F86" s="147">
        <v>1</v>
      </c>
      <c r="G86" s="89">
        <f t="shared" si="20"/>
        <v>0</v>
      </c>
      <c r="H86" s="65">
        <v>0</v>
      </c>
      <c r="I86" s="92">
        <f t="shared" si="21"/>
        <v>0</v>
      </c>
      <c r="J86" s="73">
        <f t="shared" si="33"/>
        <v>0</v>
      </c>
      <c r="K86" s="77"/>
      <c r="L86" s="67">
        <f t="shared" ref="L86:L106" si="34">IF( $B$3 = 1,  G86,H86 )</f>
        <v>0</v>
      </c>
      <c r="M86" s="93" t="s">
        <v>126</v>
      </c>
      <c r="N86" s="66">
        <f t="shared" ref="N86:N106" si="35">+J86</f>
        <v>0</v>
      </c>
      <c r="O86" s="83"/>
      <c r="P86" s="243"/>
      <c r="Q86" s="81"/>
      <c r="R86" s="38"/>
      <c r="S86" s="39"/>
      <c r="T86" s="40"/>
      <c r="U86" s="32" t="s">
        <v>347</v>
      </c>
      <c r="V86" s="32" t="s">
        <v>171</v>
      </c>
      <c r="X86" s="33" t="s">
        <v>49</v>
      </c>
    </row>
    <row r="87" spans="1:28" ht="16.5" hidden="1" thickTop="1" thickBot="1" x14ac:dyDescent="0.3">
      <c r="A87" s="43" t="s">
        <v>140</v>
      </c>
      <c r="B87" s="140" t="s">
        <v>142</v>
      </c>
      <c r="C87" s="37">
        <v>640</v>
      </c>
      <c r="D87" s="34" t="s">
        <v>72</v>
      </c>
      <c r="E87" s="42">
        <v>0</v>
      </c>
      <c r="F87" s="147">
        <v>4</v>
      </c>
      <c r="G87" s="89">
        <f t="shared" si="20"/>
        <v>0</v>
      </c>
      <c r="H87" s="65">
        <v>0</v>
      </c>
      <c r="I87" s="92">
        <f t="shared" si="21"/>
        <v>0</v>
      </c>
      <c r="J87" s="73">
        <f t="shared" si="33"/>
        <v>0</v>
      </c>
      <c r="K87" s="77"/>
      <c r="L87" s="67">
        <f t="shared" si="34"/>
        <v>0</v>
      </c>
      <c r="M87" s="93">
        <f>+I86+I87</f>
        <v>0</v>
      </c>
      <c r="N87" s="66">
        <f t="shared" si="35"/>
        <v>0</v>
      </c>
      <c r="O87" s="83" t="str">
        <f>+A87</f>
        <v>GoldWing</v>
      </c>
      <c r="P87" s="243"/>
      <c r="Q87" s="67">
        <f>IF( $B$3 = 1,  SUM($G86:$G87), SUM($H86:$H87) )</f>
        <v>0</v>
      </c>
      <c r="R87" s="66">
        <f>+$J86+$J87</f>
        <v>0</v>
      </c>
      <c r="S87" s="39"/>
      <c r="T87" s="40"/>
      <c r="U87" s="32" t="s">
        <v>347</v>
      </c>
      <c r="V87" s="32" t="s">
        <v>171</v>
      </c>
      <c r="X87" s="33" t="s">
        <v>49</v>
      </c>
    </row>
    <row r="88" spans="1:28" ht="16.5" hidden="1" thickTop="1" thickBot="1" x14ac:dyDescent="0.3">
      <c r="A88" s="43" t="s">
        <v>128</v>
      </c>
      <c r="B88" s="140" t="s">
        <v>160</v>
      </c>
      <c r="C88" s="37">
        <v>160</v>
      </c>
      <c r="D88" s="34" t="s">
        <v>70</v>
      </c>
      <c r="E88" s="42">
        <v>0</v>
      </c>
      <c r="F88" s="147">
        <v>1</v>
      </c>
      <c r="G88" s="89">
        <f t="shared" si="20"/>
        <v>0</v>
      </c>
      <c r="H88" s="65">
        <v>0</v>
      </c>
      <c r="I88" s="92">
        <f t="shared" si="21"/>
        <v>0</v>
      </c>
      <c r="J88" s="73">
        <f t="shared" si="33"/>
        <v>0</v>
      </c>
      <c r="K88" s="77"/>
      <c r="L88" s="67">
        <f t="shared" si="34"/>
        <v>0</v>
      </c>
      <c r="M88" s="93">
        <f t="shared" ref="M88:M106" si="36">+I88</f>
        <v>0</v>
      </c>
      <c r="N88" s="66">
        <f t="shared" si="35"/>
        <v>0</v>
      </c>
      <c r="O88" s="83" t="str">
        <f t="shared" ref="O88:O93" si="37">+A88</f>
        <v>Valtera</v>
      </c>
      <c r="P88" s="243"/>
      <c r="Q88" s="81"/>
      <c r="R88" s="38"/>
      <c r="S88" s="39"/>
      <c r="T88" s="40"/>
      <c r="U88" s="32" t="s">
        <v>347</v>
      </c>
      <c r="V88" s="32" t="s">
        <v>171</v>
      </c>
      <c r="X88" s="33" t="s">
        <v>49</v>
      </c>
    </row>
    <row r="89" spans="1:28" ht="16.5" hidden="1" thickTop="1" thickBot="1" x14ac:dyDescent="0.3">
      <c r="A89" s="43" t="s">
        <v>125</v>
      </c>
      <c r="B89" s="140" t="s">
        <v>192</v>
      </c>
      <c r="C89" s="37">
        <v>80</v>
      </c>
      <c r="D89" s="34" t="s">
        <v>70</v>
      </c>
      <c r="E89" s="42">
        <v>0</v>
      </c>
      <c r="F89" s="147">
        <v>1</v>
      </c>
      <c r="G89" s="89">
        <f t="shared" si="20"/>
        <v>0</v>
      </c>
      <c r="H89" s="65">
        <v>0</v>
      </c>
      <c r="I89" s="92">
        <f t="shared" si="21"/>
        <v>0</v>
      </c>
      <c r="J89" s="73">
        <f t="shared" si="33"/>
        <v>0</v>
      </c>
      <c r="K89" s="77"/>
      <c r="L89" s="67">
        <f t="shared" si="34"/>
        <v>0</v>
      </c>
      <c r="M89" s="93">
        <f t="shared" si="36"/>
        <v>0</v>
      </c>
      <c r="N89" s="66">
        <f t="shared" si="35"/>
        <v>0</v>
      </c>
      <c r="O89" s="83" t="str">
        <f t="shared" si="37"/>
        <v>Conquer</v>
      </c>
      <c r="P89" s="243"/>
      <c r="Q89" s="81"/>
      <c r="R89" s="38"/>
      <c r="S89" s="39"/>
      <c r="T89" s="40"/>
      <c r="U89" s="32" t="s">
        <v>347</v>
      </c>
      <c r="V89" s="32" t="s">
        <v>171</v>
      </c>
      <c r="X89" s="33" t="s">
        <v>49</v>
      </c>
    </row>
    <row r="90" spans="1:28" ht="16.5" hidden="1" thickTop="1" thickBot="1" x14ac:dyDescent="0.3">
      <c r="A90" s="43" t="s">
        <v>127</v>
      </c>
      <c r="B90" s="140" t="s">
        <v>161</v>
      </c>
      <c r="C90" s="37">
        <v>128</v>
      </c>
      <c r="D90" s="34" t="s">
        <v>70</v>
      </c>
      <c r="E90" s="42">
        <v>0</v>
      </c>
      <c r="F90" s="147">
        <v>1</v>
      </c>
      <c r="G90" s="89">
        <f t="shared" si="20"/>
        <v>0</v>
      </c>
      <c r="H90" s="65">
        <v>0</v>
      </c>
      <c r="I90" s="92">
        <f t="shared" si="21"/>
        <v>0</v>
      </c>
      <c r="J90" s="73">
        <f t="shared" si="33"/>
        <v>0</v>
      </c>
      <c r="K90" s="77"/>
      <c r="L90" s="67">
        <f t="shared" si="34"/>
        <v>0</v>
      </c>
      <c r="M90" s="93">
        <f t="shared" si="36"/>
        <v>0</v>
      </c>
      <c r="N90" s="66">
        <f t="shared" si="35"/>
        <v>0</v>
      </c>
      <c r="O90" s="83" t="str">
        <f t="shared" si="37"/>
        <v>Fierce</v>
      </c>
      <c r="P90" s="243"/>
      <c r="Q90" s="81"/>
      <c r="R90" s="38"/>
      <c r="S90" s="39"/>
      <c r="T90" s="40"/>
      <c r="U90" s="32" t="s">
        <v>347</v>
      </c>
      <c r="V90" s="32" t="s">
        <v>171</v>
      </c>
      <c r="X90" s="33" t="s">
        <v>49</v>
      </c>
    </row>
    <row r="91" spans="1:28" ht="16.5" hidden="1" thickTop="1" thickBot="1" x14ac:dyDescent="0.3">
      <c r="A91" s="43" t="s">
        <v>143</v>
      </c>
      <c r="B91" s="140" t="s">
        <v>163</v>
      </c>
      <c r="C91" s="37">
        <v>213</v>
      </c>
      <c r="D91" s="34" t="s">
        <v>70</v>
      </c>
      <c r="E91" s="42">
        <v>0</v>
      </c>
      <c r="F91" s="147">
        <v>1</v>
      </c>
      <c r="G91" s="89">
        <f t="shared" si="20"/>
        <v>0</v>
      </c>
      <c r="H91" s="65">
        <v>0</v>
      </c>
      <c r="I91" s="92">
        <f t="shared" si="21"/>
        <v>0</v>
      </c>
      <c r="J91" s="73">
        <f t="shared" si="33"/>
        <v>0</v>
      </c>
      <c r="K91" s="77"/>
      <c r="L91" s="67">
        <f t="shared" si="34"/>
        <v>0</v>
      </c>
      <c r="M91" s="93">
        <f t="shared" si="36"/>
        <v>0</v>
      </c>
      <c r="N91" s="66">
        <f t="shared" si="35"/>
        <v>0</v>
      </c>
      <c r="O91" s="83" t="str">
        <f t="shared" si="37"/>
        <v>Davai</v>
      </c>
      <c r="P91" s="243"/>
      <c r="Q91" s="81"/>
      <c r="R91" s="38"/>
      <c r="S91" s="39"/>
      <c r="T91" s="40"/>
      <c r="U91" s="32" t="s">
        <v>347</v>
      </c>
      <c r="V91" s="32" t="s">
        <v>171</v>
      </c>
      <c r="X91" s="33" t="s">
        <v>49</v>
      </c>
    </row>
    <row r="92" spans="1:28" ht="16.5" hidden="1" thickTop="1" thickBot="1" x14ac:dyDescent="0.3">
      <c r="A92" s="43" t="s">
        <v>204</v>
      </c>
      <c r="B92" s="140" t="s">
        <v>206</v>
      </c>
      <c r="C92" s="37">
        <v>80</v>
      </c>
      <c r="D92" s="34" t="s">
        <v>70</v>
      </c>
      <c r="E92" s="42"/>
      <c r="F92" s="147">
        <v>1</v>
      </c>
      <c r="G92" s="89">
        <f t="shared" si="20"/>
        <v>0</v>
      </c>
      <c r="H92" s="65">
        <v>0</v>
      </c>
      <c r="I92" s="92">
        <f>IF(B$3 = 1, H92*E92, (H92/C92) *E92)</f>
        <v>0</v>
      </c>
      <c r="J92" s="73">
        <f>IF($B$3 =1, H92*F92, (H92/C92) *F92)</f>
        <v>0</v>
      </c>
      <c r="K92" s="77"/>
      <c r="L92" s="67">
        <f>IF( $B$3 = 1,  G92,H92 )</f>
        <v>0</v>
      </c>
      <c r="M92" s="93">
        <f>+I92</f>
        <v>0</v>
      </c>
      <c r="N92" s="66">
        <f>+J92</f>
        <v>0</v>
      </c>
      <c r="O92" s="83" t="str">
        <f t="shared" si="37"/>
        <v xml:space="preserve">Command </v>
      </c>
      <c r="P92" s="243"/>
      <c r="Q92" s="81"/>
      <c r="R92" s="38"/>
      <c r="S92" s="39"/>
      <c r="T92" s="40"/>
      <c r="U92" s="32" t="s">
        <v>347</v>
      </c>
      <c r="V92" s="32" t="s">
        <v>171</v>
      </c>
      <c r="X92" s="33" t="s">
        <v>49</v>
      </c>
    </row>
    <row r="93" spans="1:28" ht="16.5" hidden="1" thickTop="1" thickBot="1" x14ac:dyDescent="0.3">
      <c r="A93" s="43" t="s">
        <v>203</v>
      </c>
      <c r="B93" s="140" t="s">
        <v>205</v>
      </c>
      <c r="C93" s="37">
        <v>40</v>
      </c>
      <c r="D93" s="34" t="s">
        <v>70</v>
      </c>
      <c r="E93" s="42"/>
      <c r="F93" s="147">
        <v>1</v>
      </c>
      <c r="G93" s="89">
        <f t="shared" si="20"/>
        <v>0</v>
      </c>
      <c r="H93" s="65">
        <v>0</v>
      </c>
      <c r="I93" s="92">
        <f>IF(B$3 = 1, H93*E93, (H93/C93) *E93)</f>
        <v>0</v>
      </c>
      <c r="J93" s="73">
        <f>IF($B$3 =1, H93*F93, (H93/C93) *F93)</f>
        <v>0</v>
      </c>
      <c r="K93" s="77"/>
      <c r="L93" s="67">
        <f>IF( $B$3 = 1,  G93,H93 )</f>
        <v>0</v>
      </c>
      <c r="M93" s="93">
        <f>+I93</f>
        <v>0</v>
      </c>
      <c r="N93" s="66">
        <f>+J93</f>
        <v>0</v>
      </c>
      <c r="O93" s="83" t="str">
        <f t="shared" si="37"/>
        <v>Command</v>
      </c>
      <c r="P93" s="243"/>
      <c r="Q93" s="81"/>
      <c r="R93" s="38"/>
      <c r="S93" s="39"/>
      <c r="T93" s="40"/>
      <c r="U93" s="32" t="s">
        <v>347</v>
      </c>
      <c r="V93" s="32" t="s">
        <v>171</v>
      </c>
      <c r="X93" s="33" t="s">
        <v>49</v>
      </c>
    </row>
    <row r="94" spans="1:28" ht="16.5" hidden="1" thickTop="1" thickBot="1" x14ac:dyDescent="0.3">
      <c r="A94" s="146" t="s">
        <v>255</v>
      </c>
      <c r="B94" s="140" t="str">
        <f>+A94</f>
        <v>Old section used for traits in 2020</v>
      </c>
      <c r="C94" s="148">
        <v>10</v>
      </c>
      <c r="D94" s="123" t="s">
        <v>70</v>
      </c>
      <c r="E94" s="124">
        <v>0</v>
      </c>
      <c r="F94" s="77">
        <v>1</v>
      </c>
      <c r="G94" s="196">
        <f t="shared" si="20"/>
        <v>0</v>
      </c>
      <c r="H94" s="65">
        <v>0</v>
      </c>
      <c r="I94" s="194">
        <f t="shared" si="21"/>
        <v>0</v>
      </c>
      <c r="J94" s="195">
        <f t="shared" si="33"/>
        <v>0</v>
      </c>
      <c r="K94" s="77"/>
      <c r="L94" s="67">
        <f t="shared" si="34"/>
        <v>0</v>
      </c>
      <c r="M94" s="93">
        <f t="shared" si="36"/>
        <v>0</v>
      </c>
      <c r="N94" s="66">
        <f t="shared" si="35"/>
        <v>0</v>
      </c>
      <c r="O94" s="83"/>
      <c r="P94" s="243"/>
      <c r="Q94" s="81"/>
      <c r="R94" s="38"/>
      <c r="S94" s="39"/>
      <c r="T94" s="40"/>
      <c r="U94" s="32" t="s">
        <v>347</v>
      </c>
      <c r="V94" s="32" t="s">
        <v>171</v>
      </c>
      <c r="X94" s="33" t="s">
        <v>226</v>
      </c>
    </row>
    <row r="95" spans="1:28" ht="16.5" hidden="1" thickTop="1" thickBot="1" x14ac:dyDescent="0.3">
      <c r="A95" s="146" t="s">
        <v>255</v>
      </c>
      <c r="B95" s="140" t="str">
        <f t="shared" ref="B95:B107" si="38">+A95</f>
        <v>Old section used for traits in 2020</v>
      </c>
      <c r="C95" s="149">
        <v>10</v>
      </c>
      <c r="D95" s="83" t="s">
        <v>70</v>
      </c>
      <c r="E95" s="94">
        <v>0</v>
      </c>
      <c r="F95" s="77">
        <v>1</v>
      </c>
      <c r="G95" s="196">
        <f t="shared" si="20"/>
        <v>0</v>
      </c>
      <c r="H95" s="65">
        <v>0</v>
      </c>
      <c r="I95" s="194">
        <f t="shared" si="21"/>
        <v>0</v>
      </c>
      <c r="J95" s="195">
        <f t="shared" si="33"/>
        <v>0</v>
      </c>
      <c r="K95" s="77"/>
      <c r="L95" s="67">
        <f t="shared" si="34"/>
        <v>0</v>
      </c>
      <c r="M95" s="93">
        <f t="shared" si="36"/>
        <v>0</v>
      </c>
      <c r="N95" s="66">
        <f t="shared" si="35"/>
        <v>0</v>
      </c>
      <c r="O95" s="83"/>
      <c r="P95" s="243"/>
      <c r="Q95" s="81"/>
      <c r="R95" s="38"/>
      <c r="S95" s="39"/>
      <c r="T95" s="40"/>
      <c r="U95" s="32" t="s">
        <v>347</v>
      </c>
      <c r="V95" s="32" t="s">
        <v>171</v>
      </c>
      <c r="X95" s="33" t="s">
        <v>226</v>
      </c>
    </row>
    <row r="96" spans="1:28" ht="16.5" hidden="1" thickTop="1" thickBot="1" x14ac:dyDescent="0.3">
      <c r="A96" s="146" t="s">
        <v>255</v>
      </c>
      <c r="B96" s="140" t="str">
        <f t="shared" si="38"/>
        <v>Old section used for traits in 2020</v>
      </c>
      <c r="C96" s="149">
        <v>10</v>
      </c>
      <c r="D96" s="83" t="s">
        <v>70</v>
      </c>
      <c r="E96" s="94">
        <v>0</v>
      </c>
      <c r="F96" s="77">
        <v>1</v>
      </c>
      <c r="G96" s="196">
        <f t="shared" si="20"/>
        <v>0</v>
      </c>
      <c r="H96" s="65">
        <v>0</v>
      </c>
      <c r="I96" s="194">
        <f t="shared" si="21"/>
        <v>0</v>
      </c>
      <c r="J96" s="195">
        <f t="shared" si="33"/>
        <v>0</v>
      </c>
      <c r="K96" s="77"/>
      <c r="L96" s="67">
        <f t="shared" si="34"/>
        <v>0</v>
      </c>
      <c r="M96" s="93">
        <f t="shared" si="36"/>
        <v>0</v>
      </c>
      <c r="N96" s="66">
        <f t="shared" si="35"/>
        <v>0</v>
      </c>
      <c r="O96" s="83"/>
      <c r="P96" s="243"/>
      <c r="Q96" s="81"/>
      <c r="R96" s="38"/>
      <c r="S96" s="39"/>
      <c r="T96" s="40"/>
      <c r="U96" s="32" t="s">
        <v>347</v>
      </c>
      <c r="V96" s="32" t="s">
        <v>171</v>
      </c>
      <c r="X96" s="33" t="s">
        <v>226</v>
      </c>
    </row>
    <row r="97" spans="1:28" ht="16.5" hidden="1" thickTop="1" thickBot="1" x14ac:dyDescent="0.3">
      <c r="A97" s="146" t="s">
        <v>255</v>
      </c>
      <c r="B97" s="140" t="str">
        <f t="shared" si="38"/>
        <v>Old section used for traits in 2020</v>
      </c>
      <c r="C97" s="149">
        <v>10</v>
      </c>
      <c r="D97" s="83" t="s">
        <v>70</v>
      </c>
      <c r="E97" s="94">
        <v>0</v>
      </c>
      <c r="F97" s="77">
        <v>1</v>
      </c>
      <c r="G97" s="196">
        <f t="shared" si="20"/>
        <v>0</v>
      </c>
      <c r="H97" s="65">
        <v>0</v>
      </c>
      <c r="I97" s="194">
        <f t="shared" si="21"/>
        <v>0</v>
      </c>
      <c r="J97" s="195">
        <f t="shared" si="33"/>
        <v>0</v>
      </c>
      <c r="K97" s="77"/>
      <c r="L97" s="67">
        <f t="shared" si="34"/>
        <v>0</v>
      </c>
      <c r="M97" s="93">
        <f t="shared" si="36"/>
        <v>0</v>
      </c>
      <c r="N97" s="66">
        <f t="shared" si="35"/>
        <v>0</v>
      </c>
      <c r="O97" s="83"/>
      <c r="P97" s="243"/>
      <c r="Q97" s="81"/>
      <c r="R97" s="38"/>
      <c r="S97" s="39"/>
      <c r="T97" s="40"/>
      <c r="U97" s="32" t="s">
        <v>347</v>
      </c>
      <c r="V97" s="32" t="s">
        <v>171</v>
      </c>
      <c r="X97" s="33" t="s">
        <v>226</v>
      </c>
    </row>
    <row r="98" spans="1:28" ht="16.5" hidden="1" thickTop="1" thickBot="1" x14ac:dyDescent="0.3">
      <c r="A98" s="146" t="s">
        <v>255</v>
      </c>
      <c r="B98" s="140" t="str">
        <f t="shared" si="38"/>
        <v>Old section used for traits in 2020</v>
      </c>
      <c r="C98" s="149">
        <v>10</v>
      </c>
      <c r="D98" s="83" t="s">
        <v>70</v>
      </c>
      <c r="E98" s="94">
        <v>0</v>
      </c>
      <c r="F98" s="77">
        <v>1</v>
      </c>
      <c r="G98" s="196">
        <f t="shared" si="20"/>
        <v>0</v>
      </c>
      <c r="H98" s="65">
        <v>0</v>
      </c>
      <c r="I98" s="194">
        <f t="shared" si="21"/>
        <v>0</v>
      </c>
      <c r="J98" s="195">
        <f t="shared" si="33"/>
        <v>0</v>
      </c>
      <c r="K98" s="77"/>
      <c r="L98" s="67">
        <f t="shared" si="34"/>
        <v>0</v>
      </c>
      <c r="M98" s="93">
        <f t="shared" si="36"/>
        <v>0</v>
      </c>
      <c r="N98" s="66">
        <f t="shared" si="35"/>
        <v>0</v>
      </c>
      <c r="O98" s="83"/>
      <c r="P98" s="243"/>
      <c r="Q98" s="81"/>
      <c r="R98" s="38"/>
      <c r="S98" s="39"/>
      <c r="T98" s="40"/>
      <c r="U98" s="32" t="s">
        <v>347</v>
      </c>
      <c r="V98" s="32" t="s">
        <v>171</v>
      </c>
      <c r="X98" s="33" t="s">
        <v>226</v>
      </c>
    </row>
    <row r="99" spans="1:28" ht="16.5" hidden="1" thickTop="1" thickBot="1" x14ac:dyDescent="0.3">
      <c r="A99" s="146" t="s">
        <v>255</v>
      </c>
      <c r="B99" s="140" t="str">
        <f t="shared" si="38"/>
        <v>Old section used for traits in 2020</v>
      </c>
      <c r="C99" s="149">
        <v>10</v>
      </c>
      <c r="D99" s="83" t="s">
        <v>70</v>
      </c>
      <c r="E99" s="94">
        <v>0</v>
      </c>
      <c r="F99" s="77">
        <v>1</v>
      </c>
      <c r="G99" s="196">
        <f t="shared" si="20"/>
        <v>0</v>
      </c>
      <c r="H99" s="65">
        <v>0</v>
      </c>
      <c r="I99" s="194">
        <f t="shared" si="21"/>
        <v>0</v>
      </c>
      <c r="J99" s="195">
        <f t="shared" si="33"/>
        <v>0</v>
      </c>
      <c r="K99" s="77"/>
      <c r="L99" s="67">
        <f t="shared" si="34"/>
        <v>0</v>
      </c>
      <c r="M99" s="93">
        <f t="shared" si="36"/>
        <v>0</v>
      </c>
      <c r="N99" s="66">
        <f t="shared" si="35"/>
        <v>0</v>
      </c>
      <c r="O99" s="83"/>
      <c r="P99" s="243"/>
      <c r="Q99" s="81"/>
      <c r="R99" s="38"/>
      <c r="S99" s="39"/>
      <c r="T99" s="40"/>
      <c r="U99" s="32" t="s">
        <v>347</v>
      </c>
      <c r="V99" s="32" t="s">
        <v>171</v>
      </c>
      <c r="X99" s="33" t="s">
        <v>226</v>
      </c>
    </row>
    <row r="100" spans="1:28" ht="16.5" hidden="1" thickTop="1" thickBot="1" x14ac:dyDescent="0.3">
      <c r="A100" s="146" t="s">
        <v>255</v>
      </c>
      <c r="B100" s="140" t="str">
        <f t="shared" si="38"/>
        <v>Old section used for traits in 2020</v>
      </c>
      <c r="C100" s="149">
        <v>10</v>
      </c>
      <c r="D100" s="83" t="s">
        <v>70</v>
      </c>
      <c r="E100" s="94">
        <v>0</v>
      </c>
      <c r="F100" s="77">
        <v>1</v>
      </c>
      <c r="G100" s="196">
        <f t="shared" si="20"/>
        <v>0</v>
      </c>
      <c r="H100" s="65">
        <v>0</v>
      </c>
      <c r="I100" s="194">
        <f t="shared" si="21"/>
        <v>0</v>
      </c>
      <c r="J100" s="195">
        <f t="shared" si="33"/>
        <v>0</v>
      </c>
      <c r="K100" s="77"/>
      <c r="L100" s="67">
        <f t="shared" si="34"/>
        <v>0</v>
      </c>
      <c r="M100" s="93">
        <f t="shared" si="36"/>
        <v>0</v>
      </c>
      <c r="N100" s="66">
        <f t="shared" si="35"/>
        <v>0</v>
      </c>
      <c r="O100" s="83"/>
      <c r="P100" s="243"/>
      <c r="Q100" s="81"/>
      <c r="R100" s="38"/>
      <c r="S100" s="39"/>
      <c r="T100" s="40"/>
      <c r="U100" s="32" t="s">
        <v>347</v>
      </c>
      <c r="V100" s="32" t="s">
        <v>171</v>
      </c>
      <c r="X100" s="33" t="s">
        <v>226</v>
      </c>
    </row>
    <row r="101" spans="1:28" ht="16.5" hidden="1" thickTop="1" thickBot="1" x14ac:dyDescent="0.3">
      <c r="A101" s="146" t="s">
        <v>255</v>
      </c>
      <c r="B101" s="140" t="str">
        <f t="shared" si="38"/>
        <v>Old section used for traits in 2020</v>
      </c>
      <c r="C101" s="149">
        <v>2.5</v>
      </c>
      <c r="D101" s="83" t="s">
        <v>70</v>
      </c>
      <c r="E101" s="94">
        <v>0</v>
      </c>
      <c r="F101" s="77">
        <v>1</v>
      </c>
      <c r="G101" s="196">
        <f t="shared" si="20"/>
        <v>0</v>
      </c>
      <c r="H101" s="65">
        <v>0</v>
      </c>
      <c r="I101" s="194">
        <f t="shared" si="21"/>
        <v>0</v>
      </c>
      <c r="J101" s="195">
        <f t="shared" si="33"/>
        <v>0</v>
      </c>
      <c r="K101" s="77"/>
      <c r="L101" s="67">
        <f t="shared" si="34"/>
        <v>0</v>
      </c>
      <c r="M101" s="93">
        <f t="shared" si="36"/>
        <v>0</v>
      </c>
      <c r="N101" s="66">
        <f t="shared" si="35"/>
        <v>0</v>
      </c>
      <c r="O101" s="83"/>
      <c r="P101" s="243"/>
      <c r="Q101" s="81"/>
      <c r="R101" s="38"/>
      <c r="S101" s="39"/>
      <c r="T101" s="40"/>
      <c r="U101" s="32" t="s">
        <v>347</v>
      </c>
      <c r="V101" s="32" t="s">
        <v>171</v>
      </c>
      <c r="X101" s="33" t="s">
        <v>226</v>
      </c>
    </row>
    <row r="102" spans="1:28" ht="18.75" hidden="1" customHeight="1" thickTop="1" thickBot="1" x14ac:dyDescent="0.3">
      <c r="A102" s="146" t="s">
        <v>255</v>
      </c>
      <c r="B102" s="140" t="str">
        <f t="shared" si="38"/>
        <v>Old section used for traits in 2020</v>
      </c>
      <c r="C102" s="149">
        <v>2.5</v>
      </c>
      <c r="D102" s="83" t="s">
        <v>70</v>
      </c>
      <c r="E102" s="94">
        <v>0</v>
      </c>
      <c r="F102" s="77">
        <v>1</v>
      </c>
      <c r="G102" s="196">
        <f t="shared" si="20"/>
        <v>0</v>
      </c>
      <c r="H102" s="65">
        <v>0</v>
      </c>
      <c r="I102" s="194">
        <f t="shared" si="21"/>
        <v>0</v>
      </c>
      <c r="J102" s="195">
        <f t="shared" si="33"/>
        <v>0</v>
      </c>
      <c r="K102" s="77"/>
      <c r="L102" s="67">
        <f t="shared" si="34"/>
        <v>0</v>
      </c>
      <c r="M102" s="93">
        <f t="shared" si="36"/>
        <v>0</v>
      </c>
      <c r="N102" s="66">
        <f t="shared" si="35"/>
        <v>0</v>
      </c>
      <c r="O102" s="83"/>
      <c r="P102" s="243"/>
      <c r="Q102" s="81"/>
      <c r="R102" s="38"/>
      <c r="S102" s="39"/>
      <c r="T102" s="40"/>
      <c r="U102" s="32" t="s">
        <v>347</v>
      </c>
      <c r="V102" s="32" t="s">
        <v>171</v>
      </c>
      <c r="X102" s="33" t="s">
        <v>226</v>
      </c>
    </row>
    <row r="103" spans="1:28" ht="16.5" hidden="1" thickTop="1" thickBot="1" x14ac:dyDescent="0.3">
      <c r="A103" s="146" t="s">
        <v>255</v>
      </c>
      <c r="B103" s="140" t="str">
        <f t="shared" si="38"/>
        <v>Old section used for traits in 2020</v>
      </c>
      <c r="C103" s="149">
        <v>0.74</v>
      </c>
      <c r="D103" s="83" t="s">
        <v>70</v>
      </c>
      <c r="E103" s="94">
        <v>0</v>
      </c>
      <c r="F103" s="77">
        <v>1</v>
      </c>
      <c r="G103" s="196">
        <f t="shared" si="20"/>
        <v>0</v>
      </c>
      <c r="H103" s="65">
        <v>0</v>
      </c>
      <c r="I103" s="194">
        <f t="shared" si="21"/>
        <v>0</v>
      </c>
      <c r="J103" s="195">
        <f t="shared" si="33"/>
        <v>0</v>
      </c>
      <c r="K103" s="77"/>
      <c r="L103" s="67">
        <f t="shared" si="34"/>
        <v>0</v>
      </c>
      <c r="M103" s="93">
        <f t="shared" si="36"/>
        <v>0</v>
      </c>
      <c r="N103" s="66">
        <f t="shared" si="35"/>
        <v>0</v>
      </c>
      <c r="O103" s="83"/>
      <c r="P103" s="243"/>
      <c r="Q103" s="81"/>
      <c r="R103" s="38"/>
      <c r="S103" s="39"/>
      <c r="T103" s="40"/>
      <c r="U103" s="32" t="s">
        <v>347</v>
      </c>
      <c r="V103" s="32" t="s">
        <v>171</v>
      </c>
      <c r="X103" s="33" t="s">
        <v>226</v>
      </c>
    </row>
    <row r="104" spans="1:28" ht="16.5" hidden="1" thickTop="1" thickBot="1" x14ac:dyDescent="0.3">
      <c r="A104" s="146" t="s">
        <v>255</v>
      </c>
      <c r="B104" s="140" t="str">
        <f t="shared" si="38"/>
        <v>Old section used for traits in 2020</v>
      </c>
      <c r="C104" s="149">
        <v>0.74</v>
      </c>
      <c r="D104" s="83" t="s">
        <v>70</v>
      </c>
      <c r="E104" s="94">
        <v>0</v>
      </c>
      <c r="F104" s="77">
        <v>1</v>
      </c>
      <c r="G104" s="196">
        <f t="shared" si="20"/>
        <v>0</v>
      </c>
      <c r="H104" s="65">
        <v>0</v>
      </c>
      <c r="I104" s="194">
        <f t="shared" si="21"/>
        <v>0</v>
      </c>
      <c r="J104" s="195">
        <f t="shared" si="33"/>
        <v>0</v>
      </c>
      <c r="K104" s="77"/>
      <c r="L104" s="67">
        <f t="shared" si="34"/>
        <v>0</v>
      </c>
      <c r="M104" s="93">
        <f t="shared" si="36"/>
        <v>0</v>
      </c>
      <c r="N104" s="66">
        <f t="shared" si="35"/>
        <v>0</v>
      </c>
      <c r="O104" s="83"/>
      <c r="P104" s="243"/>
      <c r="Q104" s="81"/>
      <c r="R104" s="38"/>
      <c r="S104" s="39"/>
      <c r="T104" s="40"/>
      <c r="U104" s="32" t="s">
        <v>347</v>
      </c>
      <c r="V104" s="32" t="s">
        <v>171</v>
      </c>
      <c r="X104" s="33" t="s">
        <v>226</v>
      </c>
    </row>
    <row r="105" spans="1:28" ht="16.5" hidden="1" thickTop="1" thickBot="1" x14ac:dyDescent="0.3">
      <c r="A105" s="146" t="s">
        <v>255</v>
      </c>
      <c r="B105" s="140" t="str">
        <f t="shared" si="38"/>
        <v>Old section used for traits in 2020</v>
      </c>
      <c r="C105" s="149">
        <v>0.74</v>
      </c>
      <c r="D105" s="83" t="s">
        <v>70</v>
      </c>
      <c r="E105" s="94">
        <v>0</v>
      </c>
      <c r="F105" s="77">
        <v>1</v>
      </c>
      <c r="G105" s="196">
        <f t="shared" si="20"/>
        <v>0</v>
      </c>
      <c r="H105" s="65">
        <v>0</v>
      </c>
      <c r="I105" s="194">
        <f t="shared" si="21"/>
        <v>0</v>
      </c>
      <c r="J105" s="195">
        <f t="shared" si="33"/>
        <v>0</v>
      </c>
      <c r="K105" s="77"/>
      <c r="L105" s="67">
        <f t="shared" si="34"/>
        <v>0</v>
      </c>
      <c r="M105" s="93">
        <f t="shared" si="36"/>
        <v>0</v>
      </c>
      <c r="N105" s="66">
        <f t="shared" si="35"/>
        <v>0</v>
      </c>
      <c r="O105" s="83"/>
      <c r="P105" s="243"/>
      <c r="Q105" s="81"/>
      <c r="R105" s="38"/>
      <c r="S105" s="39"/>
      <c r="T105" s="40"/>
      <c r="U105" s="32" t="s">
        <v>347</v>
      </c>
      <c r="V105" s="32" t="s">
        <v>171</v>
      </c>
      <c r="X105" s="33" t="s">
        <v>226</v>
      </c>
    </row>
    <row r="106" spans="1:28" ht="15.75" hidden="1" thickTop="1" x14ac:dyDescent="0.25">
      <c r="A106" s="150" t="s">
        <v>255</v>
      </c>
      <c r="B106" s="151" t="str">
        <f t="shared" si="38"/>
        <v>Old section used for traits in 2020</v>
      </c>
      <c r="C106" s="152">
        <v>0.74</v>
      </c>
      <c r="D106" s="153" t="s">
        <v>70</v>
      </c>
      <c r="E106" s="154">
        <v>0</v>
      </c>
      <c r="F106" s="155">
        <v>1</v>
      </c>
      <c r="G106" s="196">
        <f t="shared" si="20"/>
        <v>0</v>
      </c>
      <c r="H106" s="156">
        <v>0</v>
      </c>
      <c r="I106" s="194">
        <f t="shared" si="21"/>
        <v>0</v>
      </c>
      <c r="J106" s="195">
        <f t="shared" si="33"/>
        <v>0</v>
      </c>
      <c r="K106" s="155"/>
      <c r="L106" s="118">
        <f t="shared" si="34"/>
        <v>0</v>
      </c>
      <c r="M106" s="157">
        <f t="shared" si="36"/>
        <v>0</v>
      </c>
      <c r="N106" s="158">
        <f t="shared" si="35"/>
        <v>0</v>
      </c>
      <c r="O106" s="153"/>
      <c r="P106" s="244"/>
      <c r="Q106" s="159"/>
      <c r="R106" s="160"/>
      <c r="S106" s="161"/>
      <c r="T106" s="162"/>
      <c r="U106" s="32" t="s">
        <v>347</v>
      </c>
      <c r="V106" s="163" t="s">
        <v>171</v>
      </c>
      <c r="X106" s="33" t="s">
        <v>226</v>
      </c>
    </row>
    <row r="107" spans="1:28" ht="15.75" thickTop="1" x14ac:dyDescent="0.25">
      <c r="A107" s="559" t="s">
        <v>286</v>
      </c>
      <c r="B107" s="559" t="str">
        <f t="shared" si="38"/>
        <v>Spare</v>
      </c>
      <c r="C107" s="558"/>
      <c r="D107" s="558"/>
      <c r="E107" s="560"/>
      <c r="F107" s="558"/>
      <c r="G107" s="561"/>
      <c r="H107" s="561"/>
      <c r="I107" s="562"/>
      <c r="J107" s="558"/>
      <c r="K107" s="558"/>
      <c r="L107" s="561"/>
      <c r="M107" s="562"/>
      <c r="N107" s="558"/>
      <c r="O107" s="558"/>
      <c r="P107" s="563"/>
      <c r="Q107" s="564"/>
      <c r="R107" s="564"/>
      <c r="S107" s="564"/>
      <c r="T107" s="564"/>
      <c r="U107" s="564"/>
      <c r="V107" s="565"/>
      <c r="W107" s="564"/>
      <c r="X107" s="565"/>
      <c r="Y107" s="566"/>
      <c r="Z107" s="564"/>
      <c r="AA107" s="567"/>
      <c r="AB107" s="567"/>
    </row>
    <row r="108" spans="1:28" x14ac:dyDescent="0.25">
      <c r="A108" s="407" t="s">
        <v>295</v>
      </c>
      <c r="B108" s="164" t="s">
        <v>333</v>
      </c>
      <c r="C108" s="164">
        <v>20</v>
      </c>
      <c r="D108" s="165" t="s">
        <v>70</v>
      </c>
      <c r="E108" s="407">
        <v>214.5</v>
      </c>
      <c r="F108" s="164">
        <v>1</v>
      </c>
      <c r="G108" s="197">
        <f>IF(B$3 =1, H108*C108, H108/C108)</f>
        <v>0</v>
      </c>
      <c r="H108" s="166">
        <f>+Purchases!C13</f>
        <v>0</v>
      </c>
      <c r="I108" s="167">
        <f>IF(B$3 = 1, H108*E108, (H108/C108) *E108)</f>
        <v>0</v>
      </c>
      <c r="J108" s="168">
        <f>IF($B$3 =1, H108*F108, (H108/C108) *F108)</f>
        <v>0</v>
      </c>
      <c r="K108" s="164"/>
      <c r="L108" s="166" t="s">
        <v>126</v>
      </c>
      <c r="M108" s="167" t="s">
        <v>126</v>
      </c>
      <c r="N108" s="168" t="s">
        <v>126</v>
      </c>
      <c r="O108" s="165" t="s">
        <v>126</v>
      </c>
      <c r="P108" s="412">
        <v>45944</v>
      </c>
      <c r="Q108" s="402"/>
      <c r="R108" s="402"/>
      <c r="S108" s="402"/>
      <c r="T108" s="403"/>
      <c r="U108" s="407" t="s">
        <v>439</v>
      </c>
      <c r="V108" s="170" t="s">
        <v>294</v>
      </c>
      <c r="W108" s="169"/>
      <c r="X108" s="170" t="s">
        <v>49</v>
      </c>
      <c r="Y108" s="171" t="s">
        <v>33</v>
      </c>
      <c r="Z108" s="169" t="s">
        <v>275</v>
      </c>
      <c r="AA108" s="605"/>
      <c r="AB108" s="247"/>
    </row>
    <row r="109" spans="1:28" x14ac:dyDescent="0.25">
      <c r="A109" s="407" t="s">
        <v>295</v>
      </c>
      <c r="B109" s="164" t="s">
        <v>327</v>
      </c>
      <c r="C109" s="164">
        <v>1000</v>
      </c>
      <c r="D109" s="165" t="s">
        <v>72</v>
      </c>
      <c r="E109" s="407">
        <v>10725</v>
      </c>
      <c r="F109" s="164">
        <v>50</v>
      </c>
      <c r="G109" s="197">
        <f>IF(B$3 =1, H109*C109, H109/C109)</f>
        <v>0</v>
      </c>
      <c r="H109" s="166">
        <f>+Purchases!C14</f>
        <v>0</v>
      </c>
      <c r="I109" s="167">
        <f>IF(B$3 = 1, H109*E109, (H109/C109) *E109)</f>
        <v>0</v>
      </c>
      <c r="J109" s="168">
        <f>IF($B$3 =1, H109*F109, (H109/C109) *F109)</f>
        <v>0</v>
      </c>
      <c r="K109" s="164"/>
      <c r="L109" s="166">
        <f>IF( $B$3 = 1,  SUM(G108:G109), SUM(H108:H109) )</f>
        <v>0</v>
      </c>
      <c r="M109" s="167">
        <f>SUM(I108:I109)</f>
        <v>0</v>
      </c>
      <c r="N109" s="168">
        <f>SUM(J108:J109)</f>
        <v>0</v>
      </c>
      <c r="O109" s="165" t="str">
        <f>+A109</f>
        <v xml:space="preserve">BUCTRIL M </v>
      </c>
      <c r="P109" s="412">
        <v>45944</v>
      </c>
      <c r="Q109" s="402"/>
      <c r="R109" s="402"/>
      <c r="S109" s="402"/>
      <c r="T109" s="403"/>
      <c r="U109" s="407" t="s">
        <v>439</v>
      </c>
      <c r="V109" s="170" t="s">
        <v>294</v>
      </c>
      <c r="W109" s="169"/>
      <c r="X109" s="170" t="s">
        <v>49</v>
      </c>
      <c r="Y109" s="171" t="s">
        <v>209</v>
      </c>
      <c r="Z109" s="174" t="s">
        <v>276</v>
      </c>
      <c r="AA109" s="606">
        <f>IF(M109 &gt;= 1000, 1, 0)</f>
        <v>0</v>
      </c>
      <c r="AB109" s="247"/>
    </row>
    <row r="110" spans="1:28" x14ac:dyDescent="0.25">
      <c r="A110" s="407" t="s">
        <v>296</v>
      </c>
      <c r="B110" s="164" t="s">
        <v>328</v>
      </c>
      <c r="C110" s="164">
        <v>20</v>
      </c>
      <c r="D110" s="165" t="s">
        <v>70</v>
      </c>
      <c r="E110" s="555">
        <v>496</v>
      </c>
      <c r="F110" s="164">
        <v>1</v>
      </c>
      <c r="G110" s="197">
        <f t="shared" ref="G110:G120" si="39">IF(B$3 =1, H110*C110, H110/C110)</f>
        <v>0</v>
      </c>
      <c r="H110" s="166">
        <f>+Purchases!C15</f>
        <v>0</v>
      </c>
      <c r="I110" s="167">
        <f t="shared" ref="I110:I120" si="40">IF(B$3 = 1, H110*E110, (H110/C110) *E110)</f>
        <v>0</v>
      </c>
      <c r="J110" s="168">
        <f t="shared" ref="J110:J120" si="41">IF($B$3 =1, H110*F110, (H110/C110) *F110)</f>
        <v>0</v>
      </c>
      <c r="K110" s="164"/>
      <c r="L110" s="166">
        <f t="shared" ref="L110:L119" si="42">IF( $B$3 = 1,  G110,H110 )</f>
        <v>0</v>
      </c>
      <c r="M110" s="167">
        <f t="shared" ref="M110:M119" si="43">+I110</f>
        <v>0</v>
      </c>
      <c r="N110" s="168">
        <f t="shared" ref="N110:N119" si="44">+J110</f>
        <v>0</v>
      </c>
      <c r="O110" s="165" t="str">
        <f t="shared" ref="O110:O119" si="45">+A110</f>
        <v>CONVERGE FLEXX</v>
      </c>
      <c r="P110" s="412">
        <v>45944</v>
      </c>
      <c r="Q110" s="169"/>
      <c r="R110" s="169"/>
      <c r="S110" s="169"/>
      <c r="T110" s="403"/>
      <c r="U110" s="407" t="s">
        <v>439</v>
      </c>
      <c r="V110" s="170" t="s">
        <v>294</v>
      </c>
      <c r="W110" s="169"/>
      <c r="X110" s="170" t="s">
        <v>49</v>
      </c>
      <c r="Y110" s="171" t="s">
        <v>287</v>
      </c>
      <c r="Z110" s="174" t="s">
        <v>275</v>
      </c>
      <c r="AA110" s="606">
        <f t="shared" ref="AA110:AA139" si="46">IF(M110 &gt;= 1000, 1, 0)</f>
        <v>0</v>
      </c>
      <c r="AB110" s="247"/>
    </row>
    <row r="111" spans="1:28" x14ac:dyDescent="0.25">
      <c r="A111" s="407" t="s">
        <v>297</v>
      </c>
      <c r="B111" s="164" t="s">
        <v>329</v>
      </c>
      <c r="C111" s="164">
        <v>20</v>
      </c>
      <c r="D111" s="165" t="s">
        <v>70</v>
      </c>
      <c r="E111" s="407">
        <v>688.5</v>
      </c>
      <c r="F111" s="164">
        <v>1</v>
      </c>
      <c r="G111" s="197">
        <f t="shared" si="39"/>
        <v>0</v>
      </c>
      <c r="H111" s="166">
        <f>+Purchases!C16</f>
        <v>0</v>
      </c>
      <c r="I111" s="167">
        <f t="shared" si="40"/>
        <v>0</v>
      </c>
      <c r="J111" s="168">
        <f t="shared" si="41"/>
        <v>0</v>
      </c>
      <c r="K111" s="164"/>
      <c r="L111" s="166">
        <f t="shared" si="42"/>
        <v>0</v>
      </c>
      <c r="M111" s="167">
        <f t="shared" si="43"/>
        <v>0</v>
      </c>
      <c r="N111" s="168">
        <f t="shared" si="44"/>
        <v>0</v>
      </c>
      <c r="O111" s="165" t="str">
        <f t="shared" si="45"/>
        <v>CONVERGE XT</v>
      </c>
      <c r="P111" s="412">
        <v>45944</v>
      </c>
      <c r="Q111" s="402"/>
      <c r="R111" s="402"/>
      <c r="S111" s="402"/>
      <c r="T111" s="403"/>
      <c r="U111" s="407" t="s">
        <v>439</v>
      </c>
      <c r="V111" s="170" t="s">
        <v>294</v>
      </c>
      <c r="W111" s="169"/>
      <c r="X111" s="170" t="s">
        <v>49</v>
      </c>
      <c r="Y111" s="171" t="s">
        <v>288</v>
      </c>
      <c r="Z111" s="174" t="s">
        <v>289</v>
      </c>
      <c r="AA111" s="606">
        <f t="shared" si="46"/>
        <v>0</v>
      </c>
      <c r="AB111" s="247"/>
    </row>
    <row r="112" spans="1:28" x14ac:dyDescent="0.25">
      <c r="A112" s="407" t="s">
        <v>298</v>
      </c>
      <c r="B112" s="164" t="s">
        <v>330</v>
      </c>
      <c r="C112" s="164">
        <v>30</v>
      </c>
      <c r="D112" s="165" t="s">
        <v>70</v>
      </c>
      <c r="E112" s="407">
        <v>701.75</v>
      </c>
      <c r="F112" s="164">
        <v>1</v>
      </c>
      <c r="G112" s="197">
        <f t="shared" si="39"/>
        <v>0</v>
      </c>
      <c r="H112" s="166">
        <f>+Purchases!C19</f>
        <v>0</v>
      </c>
      <c r="I112" s="167">
        <f t="shared" si="40"/>
        <v>0</v>
      </c>
      <c r="J112" s="168">
        <f t="shared" si="41"/>
        <v>0</v>
      </c>
      <c r="K112" s="164"/>
      <c r="L112" s="166">
        <f t="shared" si="42"/>
        <v>0</v>
      </c>
      <c r="M112" s="167">
        <f t="shared" si="43"/>
        <v>0</v>
      </c>
      <c r="N112" s="168">
        <f t="shared" si="44"/>
        <v>0</v>
      </c>
      <c r="O112" s="165" t="str">
        <f t="shared" si="45"/>
        <v>DELARO COMPLETE</v>
      </c>
      <c r="P112" s="412">
        <v>45944</v>
      </c>
      <c r="Q112" s="402"/>
      <c r="R112" s="402"/>
      <c r="S112" s="402"/>
      <c r="T112" s="403"/>
      <c r="U112" s="407" t="s">
        <v>439</v>
      </c>
      <c r="V112" s="170" t="s">
        <v>294</v>
      </c>
      <c r="W112" s="169"/>
      <c r="X112" s="170" t="s">
        <v>50</v>
      </c>
      <c r="Y112" s="171" t="s">
        <v>359</v>
      </c>
      <c r="Z112" s="174" t="s">
        <v>275</v>
      </c>
      <c r="AA112" s="605" t="s">
        <v>126</v>
      </c>
      <c r="AB112" s="247"/>
    </row>
    <row r="113" spans="1:29" x14ac:dyDescent="0.25">
      <c r="A113" s="407" t="s">
        <v>79</v>
      </c>
      <c r="B113" s="164" t="s">
        <v>331</v>
      </c>
      <c r="C113" s="164">
        <v>20</v>
      </c>
      <c r="D113" s="165" t="s">
        <v>70</v>
      </c>
      <c r="E113" s="407">
        <v>339.25</v>
      </c>
      <c r="F113" s="164">
        <v>1</v>
      </c>
      <c r="G113" s="197">
        <f t="shared" si="39"/>
        <v>0</v>
      </c>
      <c r="H113" s="166">
        <f>+Purchases!C25</f>
        <v>0</v>
      </c>
      <c r="I113" s="167">
        <f t="shared" si="40"/>
        <v>0</v>
      </c>
      <c r="J113" s="168">
        <f t="shared" si="41"/>
        <v>0</v>
      </c>
      <c r="K113" s="164"/>
      <c r="L113" s="166"/>
      <c r="M113" s="167"/>
      <c r="N113" s="168"/>
      <c r="O113" s="165"/>
      <c r="P113" s="412">
        <v>45944</v>
      </c>
      <c r="Q113" s="402"/>
      <c r="R113" s="402"/>
      <c r="S113" s="402"/>
      <c r="T113" s="403"/>
      <c r="U113" s="407" t="s">
        <v>439</v>
      </c>
      <c r="V113" s="170" t="s">
        <v>294</v>
      </c>
      <c r="W113" s="169"/>
      <c r="X113" s="170" t="s">
        <v>49</v>
      </c>
      <c r="Y113" s="171" t="s">
        <v>36</v>
      </c>
      <c r="Z113" s="174" t="s">
        <v>275</v>
      </c>
      <c r="AA113" s="605" t="s">
        <v>126</v>
      </c>
      <c r="AB113" s="247"/>
    </row>
    <row r="114" spans="1:29" x14ac:dyDescent="0.25">
      <c r="A114" s="407" t="s">
        <v>79</v>
      </c>
      <c r="B114" s="164" t="s">
        <v>332</v>
      </c>
      <c r="C114" s="164">
        <v>1000</v>
      </c>
      <c r="D114" s="165" t="s">
        <v>72</v>
      </c>
      <c r="E114" s="407">
        <v>16962.5</v>
      </c>
      <c r="F114" s="164">
        <v>50</v>
      </c>
      <c r="G114" s="197">
        <f t="shared" si="39"/>
        <v>0</v>
      </c>
      <c r="H114" s="166">
        <f>+Purchases!C26</f>
        <v>0</v>
      </c>
      <c r="I114" s="167">
        <f t="shared" si="40"/>
        <v>0</v>
      </c>
      <c r="J114" s="168">
        <f t="shared" si="41"/>
        <v>0</v>
      </c>
      <c r="K114" s="164"/>
      <c r="L114" s="166">
        <f>IF( $B$3 = 1,  SUM(G113:G114), SUM(H113:H114) )</f>
        <v>0</v>
      </c>
      <c r="M114" s="167">
        <f>SUM(I113:I114)</f>
        <v>0</v>
      </c>
      <c r="N114" s="168">
        <f>SUM(J113:J114)</f>
        <v>0</v>
      </c>
      <c r="O114" s="165" t="str">
        <f>+A114</f>
        <v>INFINITY FX</v>
      </c>
      <c r="P114" s="412">
        <v>45944</v>
      </c>
      <c r="Q114" s="402"/>
      <c r="R114" s="402"/>
      <c r="S114" s="402"/>
      <c r="T114" s="403"/>
      <c r="U114" s="407" t="s">
        <v>439</v>
      </c>
      <c r="V114" s="170" t="s">
        <v>294</v>
      </c>
      <c r="W114" s="169"/>
      <c r="X114" s="170" t="s">
        <v>49</v>
      </c>
      <c r="Y114" s="171" t="s">
        <v>237</v>
      </c>
      <c r="Z114" s="174" t="s">
        <v>276</v>
      </c>
      <c r="AA114" s="606">
        <f t="shared" si="46"/>
        <v>0</v>
      </c>
      <c r="AB114" s="247"/>
    </row>
    <row r="115" spans="1:29" x14ac:dyDescent="0.25">
      <c r="A115" s="407" t="s">
        <v>78</v>
      </c>
      <c r="B115" s="164" t="s">
        <v>307</v>
      </c>
      <c r="C115" s="164">
        <v>20</v>
      </c>
      <c r="D115" s="165" t="s">
        <v>70</v>
      </c>
      <c r="E115" s="407">
        <v>253</v>
      </c>
      <c r="F115" s="164">
        <v>1</v>
      </c>
      <c r="G115" s="197">
        <f t="shared" si="39"/>
        <v>0</v>
      </c>
      <c r="H115" s="166">
        <f>+Purchases!C23</f>
        <v>0</v>
      </c>
      <c r="I115" s="167">
        <f t="shared" si="40"/>
        <v>0</v>
      </c>
      <c r="J115" s="168">
        <f t="shared" si="41"/>
        <v>0</v>
      </c>
      <c r="K115" s="164"/>
      <c r="L115" s="166"/>
      <c r="M115" s="167"/>
      <c r="N115" s="168"/>
      <c r="O115" s="165"/>
      <c r="P115" s="412">
        <v>45944</v>
      </c>
      <c r="Q115" s="169"/>
      <c r="R115" s="169"/>
      <c r="S115" s="169"/>
      <c r="T115" s="403"/>
      <c r="U115" s="407" t="s">
        <v>439</v>
      </c>
      <c r="V115" s="170" t="s">
        <v>294</v>
      </c>
      <c r="W115" s="169"/>
      <c r="X115" s="170" t="s">
        <v>49</v>
      </c>
      <c r="Y115" s="171" t="s">
        <v>37</v>
      </c>
      <c r="Z115" s="174" t="s">
        <v>275</v>
      </c>
      <c r="AA115" s="605" t="s">
        <v>126</v>
      </c>
      <c r="AB115" s="247"/>
    </row>
    <row r="116" spans="1:29" x14ac:dyDescent="0.25">
      <c r="A116" s="407" t="s">
        <v>78</v>
      </c>
      <c r="B116" s="164" t="s">
        <v>334</v>
      </c>
      <c r="C116" s="164">
        <v>1000</v>
      </c>
      <c r="D116" s="165" t="s">
        <v>72</v>
      </c>
      <c r="E116" s="407">
        <v>12650</v>
      </c>
      <c r="F116" s="164">
        <v>50</v>
      </c>
      <c r="G116" s="197">
        <f t="shared" si="39"/>
        <v>0</v>
      </c>
      <c r="H116" s="166">
        <f>+Purchases!C24</f>
        <v>0</v>
      </c>
      <c r="I116" s="167">
        <f t="shared" si="40"/>
        <v>0</v>
      </c>
      <c r="J116" s="168">
        <f t="shared" si="41"/>
        <v>0</v>
      </c>
      <c r="K116" s="164"/>
      <c r="L116" s="166">
        <f>IF( $B$3 = 1,  SUM(G115:G116), SUM(H115:H116) )</f>
        <v>0</v>
      </c>
      <c r="M116" s="167">
        <f>SUM(I115:I116)</f>
        <v>0</v>
      </c>
      <c r="N116" s="168">
        <f>SUM(J115:J116)</f>
        <v>0</v>
      </c>
      <c r="O116" s="165" t="str">
        <f>+A116</f>
        <v>INFINITY</v>
      </c>
      <c r="P116" s="412">
        <v>45944</v>
      </c>
      <c r="Q116" s="169"/>
      <c r="R116" s="169"/>
      <c r="S116" s="169"/>
      <c r="T116" s="403"/>
      <c r="U116" s="407" t="s">
        <v>439</v>
      </c>
      <c r="V116" s="170" t="s">
        <v>294</v>
      </c>
      <c r="W116" s="169"/>
      <c r="X116" s="170" t="s">
        <v>49</v>
      </c>
      <c r="Y116" s="171" t="s">
        <v>235</v>
      </c>
      <c r="Z116" s="174" t="s">
        <v>276</v>
      </c>
      <c r="AA116" s="606">
        <f t="shared" si="46"/>
        <v>0</v>
      </c>
      <c r="AB116" s="247"/>
    </row>
    <row r="117" spans="1:29" x14ac:dyDescent="0.25">
      <c r="A117" s="407" t="s">
        <v>422</v>
      </c>
      <c r="B117" s="164" t="s">
        <v>421</v>
      </c>
      <c r="C117" s="164">
        <v>10</v>
      </c>
      <c r="D117" s="165" t="s">
        <v>70</v>
      </c>
      <c r="E117" s="407">
        <v>275.5</v>
      </c>
      <c r="F117" s="164">
        <v>1</v>
      </c>
      <c r="G117" s="197">
        <f t="shared" si="39"/>
        <v>0</v>
      </c>
      <c r="H117" s="166">
        <f>+Purchases!C28</f>
        <v>0</v>
      </c>
      <c r="I117" s="167">
        <f t="shared" si="40"/>
        <v>0</v>
      </c>
      <c r="J117" s="168">
        <f t="shared" si="41"/>
        <v>0</v>
      </c>
      <c r="K117" s="164"/>
      <c r="L117" s="166">
        <f t="shared" si="42"/>
        <v>0</v>
      </c>
      <c r="M117" s="167">
        <f t="shared" si="43"/>
        <v>0</v>
      </c>
      <c r="N117" s="168">
        <f t="shared" si="44"/>
        <v>0</v>
      </c>
      <c r="O117" s="165" t="str">
        <f t="shared" si="45"/>
        <v>OPTION LIQUID</v>
      </c>
      <c r="P117" s="412">
        <v>45944</v>
      </c>
      <c r="Q117" s="169"/>
      <c r="R117" s="169"/>
      <c r="S117" s="169"/>
      <c r="T117" s="403"/>
      <c r="U117" s="407" t="s">
        <v>439</v>
      </c>
      <c r="V117" s="170" t="s">
        <v>294</v>
      </c>
      <c r="W117" s="169"/>
      <c r="X117" s="170" t="s">
        <v>49</v>
      </c>
      <c r="Y117" s="171" t="s">
        <v>290</v>
      </c>
      <c r="Z117" s="174" t="s">
        <v>275</v>
      </c>
      <c r="AA117" s="606">
        <f t="shared" si="46"/>
        <v>0</v>
      </c>
      <c r="AB117" s="247"/>
      <c r="AC117" s="295"/>
    </row>
    <row r="118" spans="1:29" x14ac:dyDescent="0.25">
      <c r="A118" s="407" t="s">
        <v>84</v>
      </c>
      <c r="B118" s="164" t="s">
        <v>308</v>
      </c>
      <c r="C118" s="164">
        <v>30</v>
      </c>
      <c r="D118" s="165" t="s">
        <v>70</v>
      </c>
      <c r="E118" s="407">
        <v>664.75</v>
      </c>
      <c r="F118" s="164">
        <v>1</v>
      </c>
      <c r="G118" s="197">
        <f t="shared" si="39"/>
        <v>0</v>
      </c>
      <c r="H118" s="166">
        <f>+Purchases!C29</f>
        <v>0</v>
      </c>
      <c r="I118" s="167">
        <f t="shared" si="40"/>
        <v>0</v>
      </c>
      <c r="J118" s="168">
        <f t="shared" si="41"/>
        <v>0</v>
      </c>
      <c r="K118" s="164"/>
      <c r="L118" s="166">
        <f t="shared" si="42"/>
        <v>0</v>
      </c>
      <c r="M118" s="167">
        <f t="shared" si="43"/>
        <v>0</v>
      </c>
      <c r="N118" s="168">
        <f t="shared" si="44"/>
        <v>0</v>
      </c>
      <c r="O118" s="165" t="str">
        <f t="shared" si="45"/>
        <v>PROLINE</v>
      </c>
      <c r="P118" s="412">
        <v>45944</v>
      </c>
      <c r="Q118" s="402"/>
      <c r="R118" s="402"/>
      <c r="S118" s="402"/>
      <c r="T118" s="403"/>
      <c r="U118" s="407" t="s">
        <v>439</v>
      </c>
      <c r="V118" s="170" t="s">
        <v>294</v>
      </c>
      <c r="W118" s="169"/>
      <c r="X118" s="170" t="s">
        <v>50</v>
      </c>
      <c r="Y118" s="171" t="s">
        <v>39</v>
      </c>
      <c r="Z118" s="174" t="s">
        <v>275</v>
      </c>
      <c r="AA118" s="606">
        <f t="shared" si="46"/>
        <v>0</v>
      </c>
      <c r="AB118" s="247"/>
    </row>
    <row r="119" spans="1:29" x14ac:dyDescent="0.25">
      <c r="A119" s="407" t="s">
        <v>299</v>
      </c>
      <c r="B119" s="164" t="s">
        <v>335</v>
      </c>
      <c r="C119" s="164">
        <v>20</v>
      </c>
      <c r="D119" s="165" t="s">
        <v>70</v>
      </c>
      <c r="E119" s="407">
        <v>700</v>
      </c>
      <c r="F119" s="164">
        <v>1</v>
      </c>
      <c r="G119" s="197">
        <f t="shared" si="39"/>
        <v>0</v>
      </c>
      <c r="H119" s="166">
        <f>+Purchases!C30</f>
        <v>0</v>
      </c>
      <c r="I119" s="167">
        <f t="shared" si="40"/>
        <v>0</v>
      </c>
      <c r="J119" s="168">
        <f t="shared" si="41"/>
        <v>0</v>
      </c>
      <c r="K119" s="164"/>
      <c r="L119" s="166">
        <f t="shared" si="42"/>
        <v>0</v>
      </c>
      <c r="M119" s="167">
        <f t="shared" si="43"/>
        <v>0</v>
      </c>
      <c r="N119" s="168">
        <f t="shared" si="44"/>
        <v>0</v>
      </c>
      <c r="O119" s="165" t="str">
        <f t="shared" si="45"/>
        <v>PROPULSE</v>
      </c>
      <c r="P119" s="412">
        <v>45944</v>
      </c>
      <c r="Q119" s="402"/>
      <c r="R119" s="402"/>
      <c r="S119" s="402"/>
      <c r="T119" s="403"/>
      <c r="U119" s="407" t="s">
        <v>439</v>
      </c>
      <c r="V119" s="170" t="s">
        <v>294</v>
      </c>
      <c r="W119" s="169"/>
      <c r="X119" s="170" t="s">
        <v>50</v>
      </c>
      <c r="Y119" s="171" t="s">
        <v>291</v>
      </c>
      <c r="Z119" s="174" t="s">
        <v>275</v>
      </c>
      <c r="AA119" s="606">
        <f t="shared" si="46"/>
        <v>0</v>
      </c>
      <c r="AB119" s="247"/>
    </row>
    <row r="120" spans="1:29" x14ac:dyDescent="0.25">
      <c r="A120" s="407" t="s">
        <v>85</v>
      </c>
      <c r="B120" s="164" t="s">
        <v>309</v>
      </c>
      <c r="C120" s="164">
        <v>20</v>
      </c>
      <c r="D120" s="165" t="s">
        <v>70</v>
      </c>
      <c r="E120" s="407">
        <v>449.5</v>
      </c>
      <c r="F120" s="164">
        <v>1</v>
      </c>
      <c r="G120" s="197">
        <f t="shared" si="39"/>
        <v>0</v>
      </c>
      <c r="H120" s="166">
        <f>+Purchases!G15</f>
        <v>0</v>
      </c>
      <c r="I120" s="167">
        <f t="shared" si="40"/>
        <v>0</v>
      </c>
      <c r="J120" s="168">
        <f t="shared" si="41"/>
        <v>0</v>
      </c>
      <c r="K120" s="164"/>
      <c r="L120" s="166"/>
      <c r="M120" s="167"/>
      <c r="N120" s="168"/>
      <c r="O120" s="165"/>
      <c r="P120" s="412">
        <v>45944</v>
      </c>
      <c r="Q120" s="169"/>
      <c r="R120" s="169"/>
      <c r="S120" s="169"/>
      <c r="T120" s="403"/>
      <c r="U120" s="407" t="s">
        <v>439</v>
      </c>
      <c r="V120" s="170" t="s">
        <v>294</v>
      </c>
      <c r="W120" s="169"/>
      <c r="X120" s="170" t="s">
        <v>50</v>
      </c>
      <c r="Y120" s="171" t="s">
        <v>40</v>
      </c>
      <c r="Z120" s="174" t="s">
        <v>275</v>
      </c>
      <c r="AA120" s="605" t="s">
        <v>126</v>
      </c>
      <c r="AB120" s="247"/>
    </row>
    <row r="121" spans="1:29" x14ac:dyDescent="0.25">
      <c r="A121" s="407" t="s">
        <v>85</v>
      </c>
      <c r="B121" s="164" t="s">
        <v>337</v>
      </c>
      <c r="C121" s="164">
        <v>320</v>
      </c>
      <c r="D121" s="165" t="s">
        <v>72</v>
      </c>
      <c r="E121" s="407">
        <v>7192</v>
      </c>
      <c r="F121" s="164">
        <v>16</v>
      </c>
      <c r="G121" s="197">
        <f>IF(B$3 =1, H121*C121, H121/C121)</f>
        <v>0</v>
      </c>
      <c r="H121" s="166">
        <f>+Purchases!G16</f>
        <v>0</v>
      </c>
      <c r="I121" s="167">
        <f>IF(B$3 = 1, H121*E121, (H121/C121) *E121)</f>
        <v>0</v>
      </c>
      <c r="J121" s="168">
        <f>IF($B$3 =1, H121*F121, (H121/C121) *F121)</f>
        <v>0</v>
      </c>
      <c r="K121" s="164"/>
      <c r="L121" s="166">
        <f>IF( $B$3 = 1,  SUM(G120:G121), SUM(H120:H121) )</f>
        <v>0</v>
      </c>
      <c r="M121" s="167">
        <f>SUM(I120:I121)</f>
        <v>0</v>
      </c>
      <c r="N121" s="168">
        <f>SUM(J120:J121)</f>
        <v>0</v>
      </c>
      <c r="O121" s="165" t="str">
        <f>+A121</f>
        <v>PROSARO XTR</v>
      </c>
      <c r="P121" s="412">
        <v>45944</v>
      </c>
      <c r="Q121" s="169"/>
      <c r="R121" s="169"/>
      <c r="S121" s="169"/>
      <c r="T121" s="403"/>
      <c r="U121" s="407" t="s">
        <v>439</v>
      </c>
      <c r="V121" s="170" t="s">
        <v>294</v>
      </c>
      <c r="W121" s="169"/>
      <c r="X121" s="170" t="s">
        <v>50</v>
      </c>
      <c r="Y121" s="171" t="s">
        <v>240</v>
      </c>
      <c r="Z121" s="174" t="s">
        <v>277</v>
      </c>
      <c r="AA121" s="606">
        <f t="shared" si="46"/>
        <v>0</v>
      </c>
      <c r="AB121" s="247"/>
    </row>
    <row r="122" spans="1:29" x14ac:dyDescent="0.25">
      <c r="A122" s="407" t="s">
        <v>86</v>
      </c>
      <c r="B122" s="164" t="s">
        <v>360</v>
      </c>
      <c r="C122" s="164">
        <v>20</v>
      </c>
      <c r="D122" s="165" t="s">
        <v>70</v>
      </c>
      <c r="E122" s="407">
        <v>266.5</v>
      </c>
      <c r="F122" s="164">
        <v>1</v>
      </c>
      <c r="G122" s="197">
        <f t="shared" ref="G122:G136" si="47">IF(B$3 =1, H122*C122, H122/C122)</f>
        <v>0</v>
      </c>
      <c r="H122" s="166">
        <f>+Purchases!G17</f>
        <v>0</v>
      </c>
      <c r="I122" s="167">
        <f t="shared" ref="I122:I136" si="48">IF(B$3 = 1, H122*E122, (H122/C122) *E122)</f>
        <v>0</v>
      </c>
      <c r="J122" s="168">
        <f t="shared" ref="J122:J136" si="49">IF($B$3 =1, H122*F122, (H122/C122) *F122)</f>
        <v>0</v>
      </c>
      <c r="K122" s="164"/>
      <c r="L122" s="166">
        <f t="shared" ref="L122:L136" si="50">IF( $B$3 = 1,  G122,H122 )</f>
        <v>0</v>
      </c>
      <c r="M122" s="167">
        <f t="shared" ref="M122:M136" si="51">+I122</f>
        <v>0</v>
      </c>
      <c r="N122" s="168">
        <f t="shared" ref="N122:N136" si="52">+J122</f>
        <v>0</v>
      </c>
      <c r="O122" s="165" t="str">
        <f t="shared" ref="O122:O136" si="53">+A122</f>
        <v>PUMA ADVANCE</v>
      </c>
      <c r="P122" s="412">
        <v>45944</v>
      </c>
      <c r="Q122" s="402"/>
      <c r="R122" s="402"/>
      <c r="S122" s="402"/>
      <c r="T122" s="403"/>
      <c r="U122" s="407" t="s">
        <v>439</v>
      </c>
      <c r="V122" s="170" t="s">
        <v>294</v>
      </c>
      <c r="W122" s="169"/>
      <c r="X122" s="170" t="s">
        <v>49</v>
      </c>
      <c r="Y122" s="171" t="s">
        <v>41</v>
      </c>
      <c r="Z122" s="174" t="s">
        <v>275</v>
      </c>
      <c r="AA122" s="606">
        <f t="shared" si="46"/>
        <v>0</v>
      </c>
      <c r="AB122" s="247"/>
    </row>
    <row r="123" spans="1:29" x14ac:dyDescent="0.25">
      <c r="A123" s="407" t="s">
        <v>177</v>
      </c>
      <c r="B123" s="164" t="s">
        <v>390</v>
      </c>
      <c r="C123" s="164">
        <v>5</v>
      </c>
      <c r="D123" s="165" t="s">
        <v>70</v>
      </c>
      <c r="E123" s="555">
        <v>110</v>
      </c>
      <c r="F123" s="164">
        <v>1</v>
      </c>
      <c r="G123" s="197">
        <f t="shared" si="47"/>
        <v>0</v>
      </c>
      <c r="H123" s="166">
        <f>+Purchases!G18</f>
        <v>0</v>
      </c>
      <c r="I123" s="167">
        <f t="shared" si="48"/>
        <v>0</v>
      </c>
      <c r="J123" s="168">
        <f t="shared" si="49"/>
        <v>0</v>
      </c>
      <c r="K123" s="164"/>
      <c r="L123" s="166"/>
      <c r="M123" s="167"/>
      <c r="N123" s="168"/>
      <c r="O123" s="165"/>
      <c r="P123" s="412">
        <v>45944</v>
      </c>
      <c r="Q123" s="169"/>
      <c r="R123" s="169"/>
      <c r="S123" s="169"/>
      <c r="T123" s="403"/>
      <c r="U123" s="407" t="s">
        <v>439</v>
      </c>
      <c r="V123" s="170" t="s">
        <v>294</v>
      </c>
      <c r="W123" s="169"/>
      <c r="X123" s="170" t="s">
        <v>49</v>
      </c>
      <c r="Y123" s="171" t="s">
        <v>42</v>
      </c>
      <c r="Z123" s="174" t="s">
        <v>275</v>
      </c>
      <c r="AA123" s="605" t="s">
        <v>126</v>
      </c>
      <c r="AB123" s="287" t="str">
        <f>+LEFT(B123,15) &amp;  "(" &amp; Y123 &amp; ")"</f>
        <v>ROUNDUP XTEND® (10 L)</v>
      </c>
    </row>
    <row r="124" spans="1:29" x14ac:dyDescent="0.25">
      <c r="A124" s="407" t="s">
        <v>177</v>
      </c>
      <c r="B124" s="164" t="s">
        <v>391</v>
      </c>
      <c r="C124" s="164">
        <v>225</v>
      </c>
      <c r="D124" s="165" t="s">
        <v>72</v>
      </c>
      <c r="E124" s="555">
        <v>4950</v>
      </c>
      <c r="F124" s="164">
        <v>45</v>
      </c>
      <c r="G124" s="197">
        <f t="shared" si="47"/>
        <v>0</v>
      </c>
      <c r="H124" s="166">
        <f>+Purchases!G19</f>
        <v>0</v>
      </c>
      <c r="I124" s="167">
        <f t="shared" si="48"/>
        <v>0</v>
      </c>
      <c r="J124" s="168">
        <f t="shared" si="49"/>
        <v>0</v>
      </c>
      <c r="K124" s="164"/>
      <c r="L124" s="166"/>
      <c r="M124" s="167"/>
      <c r="N124" s="168"/>
      <c r="O124" s="165" t="str">
        <f>+A124</f>
        <v>ROUNDUP XTEND</v>
      </c>
      <c r="P124" s="412">
        <v>45944</v>
      </c>
      <c r="Q124" s="169"/>
      <c r="R124" s="169"/>
      <c r="S124" s="169"/>
      <c r="T124" s="403"/>
      <c r="U124" s="407" t="s">
        <v>439</v>
      </c>
      <c r="V124" s="170" t="s">
        <v>294</v>
      </c>
      <c r="W124" s="169"/>
      <c r="X124" s="170" t="s">
        <v>49</v>
      </c>
      <c r="Y124" s="171" t="s">
        <v>260</v>
      </c>
      <c r="Z124" s="174" t="s">
        <v>276</v>
      </c>
      <c r="AA124" s="605" t="s">
        <v>126</v>
      </c>
      <c r="AB124" s="287" t="str">
        <f>+LEFT(B124,15) &amp; "(" &amp; Y124 &amp; ")"</f>
        <v>ROUNDUP XTEND® (450 L)</v>
      </c>
    </row>
    <row r="125" spans="1:29" x14ac:dyDescent="0.25">
      <c r="A125" s="407" t="s">
        <v>403</v>
      </c>
      <c r="B125" s="164" t="s">
        <v>392</v>
      </c>
      <c r="C125" s="164">
        <v>7</v>
      </c>
      <c r="D125" s="165" t="s">
        <v>70</v>
      </c>
      <c r="E125" s="407">
        <v>149.5</v>
      </c>
      <c r="F125" s="164">
        <v>1</v>
      </c>
      <c r="G125" s="197">
        <f t="shared" ref="G125:G126" si="54">IF(B$3 =1, H125*C125, H125/C125)</f>
        <v>0</v>
      </c>
      <c r="H125" s="166">
        <f>+Purchases!G20</f>
        <v>0</v>
      </c>
      <c r="I125" s="167">
        <f t="shared" ref="I125:I126" si="55">IF(B$3 = 1, H125*E125, (H125/C125) *E125)</f>
        <v>0</v>
      </c>
      <c r="J125" s="168">
        <f t="shared" ref="J125:J126" si="56">IF($B$3 =1, H125*F125, (H125/C125) *F125)</f>
        <v>0</v>
      </c>
      <c r="K125" s="164"/>
      <c r="L125" s="166"/>
      <c r="M125" s="167"/>
      <c r="N125" s="168"/>
      <c r="O125" s="165"/>
      <c r="P125" s="412">
        <v>45944</v>
      </c>
      <c r="Q125" s="402"/>
      <c r="R125" s="402"/>
      <c r="S125" s="402"/>
      <c r="T125" s="403"/>
      <c r="U125" s="407" t="s">
        <v>439</v>
      </c>
      <c r="V125" s="170" t="s">
        <v>294</v>
      </c>
      <c r="W125" s="169"/>
      <c r="X125" s="170" t="s">
        <v>49</v>
      </c>
      <c r="Y125" s="171" t="s">
        <v>42</v>
      </c>
      <c r="Z125" s="174" t="s">
        <v>275</v>
      </c>
      <c r="AA125" s="605" t="s">
        <v>126</v>
      </c>
      <c r="AB125" s="287" t="str">
        <f>+LEFT(B126,17)  &amp; "(" &amp; Y125 &amp; ")"</f>
        <v>ROUNDUP XTEND® 2 (10 L)</v>
      </c>
    </row>
    <row r="126" spans="1:29" x14ac:dyDescent="0.25">
      <c r="A126" s="407" t="s">
        <v>403</v>
      </c>
      <c r="B126" s="164" t="s">
        <v>393</v>
      </c>
      <c r="C126" s="164">
        <v>315</v>
      </c>
      <c r="D126" s="165" t="s">
        <v>72</v>
      </c>
      <c r="E126" s="407">
        <v>6727.5</v>
      </c>
      <c r="F126" s="164">
        <v>45</v>
      </c>
      <c r="G126" s="197">
        <f t="shared" si="54"/>
        <v>0</v>
      </c>
      <c r="H126" s="166">
        <f>+Purchases!G21</f>
        <v>0</v>
      </c>
      <c r="I126" s="167">
        <f t="shared" si="55"/>
        <v>0</v>
      </c>
      <c r="J126" s="168">
        <f t="shared" si="56"/>
        <v>0</v>
      </c>
      <c r="K126" s="164"/>
      <c r="L126" s="166">
        <f>IF( $B$3 = 1,  SUM(G123:G126), SUM(H123:H126) )</f>
        <v>0</v>
      </c>
      <c r="M126" s="167">
        <f>SUM(I123:I126)</f>
        <v>0</v>
      </c>
      <c r="N126" s="168">
        <f>SUM(J123:J126)</f>
        <v>0</v>
      </c>
      <c r="O126" s="165" t="str">
        <f>+A126</f>
        <v>ROUNDUP XTEND 2</v>
      </c>
      <c r="P126" s="412">
        <v>45944</v>
      </c>
      <c r="Q126" s="402"/>
      <c r="R126" s="402"/>
      <c r="S126" s="402"/>
      <c r="T126" s="403"/>
      <c r="U126" s="407" t="s">
        <v>439</v>
      </c>
      <c r="V126" s="170" t="s">
        <v>294</v>
      </c>
      <c r="W126" s="169"/>
      <c r="X126" s="170" t="s">
        <v>49</v>
      </c>
      <c r="Y126" s="171" t="s">
        <v>260</v>
      </c>
      <c r="Z126" s="174" t="s">
        <v>276</v>
      </c>
      <c r="AA126" s="606">
        <f t="shared" ref="AA126" si="57">IF(M126 &gt;= 1000, 1, 0)</f>
        <v>0</v>
      </c>
      <c r="AB126" s="287" t="str">
        <f>+LEFT(B126,17) &amp; "(" &amp; Y126 &amp; ")"</f>
        <v>ROUNDUP XTEND® 2 (450 L)</v>
      </c>
    </row>
    <row r="127" spans="1:29" x14ac:dyDescent="0.25">
      <c r="A127" s="407" t="s">
        <v>300</v>
      </c>
      <c r="B127" s="164" t="s">
        <v>310</v>
      </c>
      <c r="C127" s="164">
        <v>40</v>
      </c>
      <c r="D127" s="165" t="s">
        <v>70</v>
      </c>
      <c r="E127" s="407">
        <v>594</v>
      </c>
      <c r="F127" s="164">
        <v>1</v>
      </c>
      <c r="G127" s="197">
        <f t="shared" si="47"/>
        <v>0</v>
      </c>
      <c r="H127" s="166">
        <f>+Purchases!G22</f>
        <v>0</v>
      </c>
      <c r="I127" s="167">
        <f t="shared" si="48"/>
        <v>0</v>
      </c>
      <c r="J127" s="168">
        <f t="shared" si="49"/>
        <v>0</v>
      </c>
      <c r="K127" s="164"/>
      <c r="L127" s="166"/>
      <c r="M127" s="167"/>
      <c r="N127" s="168"/>
      <c r="O127" s="165"/>
      <c r="P127" s="412">
        <v>45944</v>
      </c>
      <c r="Q127" s="402"/>
      <c r="R127" s="402"/>
      <c r="S127" s="402"/>
      <c r="T127" s="403"/>
      <c r="U127" s="407" t="s">
        <v>439</v>
      </c>
      <c r="V127" s="170" t="s">
        <v>294</v>
      </c>
      <c r="W127" s="169"/>
      <c r="X127" s="170" t="s">
        <v>50</v>
      </c>
      <c r="Y127" s="171" t="s">
        <v>34</v>
      </c>
      <c r="Z127" s="174" t="s">
        <v>275</v>
      </c>
      <c r="AA127" s="605" t="s">
        <v>126</v>
      </c>
      <c r="AB127" s="247"/>
    </row>
    <row r="128" spans="1:29" x14ac:dyDescent="0.25">
      <c r="A128" s="407" t="s">
        <v>300</v>
      </c>
      <c r="B128" s="164" t="s">
        <v>338</v>
      </c>
      <c r="C128" s="164">
        <v>640</v>
      </c>
      <c r="D128" s="165" t="s">
        <v>72</v>
      </c>
      <c r="E128" s="407">
        <v>9504</v>
      </c>
      <c r="F128" s="164">
        <v>16</v>
      </c>
      <c r="G128" s="197">
        <f t="shared" si="47"/>
        <v>0</v>
      </c>
      <c r="H128" s="166">
        <f>+Purchases!G23</f>
        <v>0</v>
      </c>
      <c r="I128" s="167">
        <f t="shared" si="48"/>
        <v>0</v>
      </c>
      <c r="J128" s="168">
        <f t="shared" si="49"/>
        <v>0</v>
      </c>
      <c r="K128" s="164"/>
      <c r="L128" s="166">
        <f>IF( $B$3 = 1,  SUM(G127:G128), SUM(H127:H128) )</f>
        <v>0</v>
      </c>
      <c r="M128" s="167">
        <f>SUM(I127:I128)</f>
        <v>0</v>
      </c>
      <c r="N128" s="168">
        <f>SUM(J127:J128)</f>
        <v>0</v>
      </c>
      <c r="O128" s="165" t="str">
        <f>+A128</f>
        <v>STRATEGO PRO</v>
      </c>
      <c r="P128" s="412">
        <v>45944</v>
      </c>
      <c r="Q128" s="402"/>
      <c r="R128" s="402"/>
      <c r="S128" s="402"/>
      <c r="T128" s="403"/>
      <c r="U128" s="407" t="s">
        <v>439</v>
      </c>
      <c r="V128" s="170" t="s">
        <v>294</v>
      </c>
      <c r="W128" s="169"/>
      <c r="X128" s="170" t="s">
        <v>50</v>
      </c>
      <c r="Y128" s="171" t="s">
        <v>232</v>
      </c>
      <c r="Z128" s="174" t="s">
        <v>277</v>
      </c>
      <c r="AA128" s="606">
        <f t="shared" si="46"/>
        <v>0</v>
      </c>
      <c r="AB128" s="247"/>
    </row>
    <row r="129" spans="1:30" x14ac:dyDescent="0.25">
      <c r="A129" s="407" t="s">
        <v>101</v>
      </c>
      <c r="B129" s="164" t="s">
        <v>311</v>
      </c>
      <c r="C129" s="164">
        <v>40</v>
      </c>
      <c r="D129" s="165" t="s">
        <v>70</v>
      </c>
      <c r="E129" s="407">
        <v>907</v>
      </c>
      <c r="F129" s="164">
        <v>1</v>
      </c>
      <c r="G129" s="197">
        <f t="shared" si="47"/>
        <v>0</v>
      </c>
      <c r="H129" s="166">
        <f>+Purchases!G24</f>
        <v>0</v>
      </c>
      <c r="I129" s="167">
        <f t="shared" si="48"/>
        <v>0</v>
      </c>
      <c r="J129" s="168">
        <f t="shared" si="49"/>
        <v>0</v>
      </c>
      <c r="K129" s="164"/>
      <c r="L129" s="166">
        <f t="shared" si="50"/>
        <v>0</v>
      </c>
      <c r="M129" s="167">
        <f t="shared" si="51"/>
        <v>0</v>
      </c>
      <c r="N129" s="168">
        <f t="shared" si="52"/>
        <v>0</v>
      </c>
      <c r="O129" s="165" t="str">
        <f t="shared" si="53"/>
        <v>VARRO</v>
      </c>
      <c r="P129" s="412">
        <v>45944</v>
      </c>
      <c r="Q129" s="402"/>
      <c r="R129" s="402"/>
      <c r="S129" s="402"/>
      <c r="T129" s="403"/>
      <c r="U129" s="407" t="s">
        <v>439</v>
      </c>
      <c r="V129" s="170" t="s">
        <v>294</v>
      </c>
      <c r="W129" s="169"/>
      <c r="X129" s="170" t="s">
        <v>49</v>
      </c>
      <c r="Y129" s="171" t="s">
        <v>33</v>
      </c>
      <c r="Z129" s="174" t="s">
        <v>275</v>
      </c>
      <c r="AA129" s="606">
        <f t="shared" si="46"/>
        <v>0</v>
      </c>
      <c r="AB129" s="247"/>
    </row>
    <row r="130" spans="1:30" x14ac:dyDescent="0.25">
      <c r="A130" s="407" t="s">
        <v>355</v>
      </c>
      <c r="B130" s="164" t="s">
        <v>388</v>
      </c>
      <c r="C130" s="164">
        <v>40</v>
      </c>
      <c r="D130" s="165" t="s">
        <v>70</v>
      </c>
      <c r="E130" s="407">
        <v>893.5</v>
      </c>
      <c r="F130" s="164">
        <v>1</v>
      </c>
      <c r="G130" s="197">
        <f t="shared" si="47"/>
        <v>0</v>
      </c>
      <c r="H130" s="166">
        <f>+Purchases!G26</f>
        <v>0</v>
      </c>
      <c r="I130" s="167">
        <f t="shared" si="48"/>
        <v>0</v>
      </c>
      <c r="J130" s="168">
        <f t="shared" si="49"/>
        <v>0</v>
      </c>
      <c r="K130" s="164"/>
      <c r="L130" s="166">
        <f t="shared" si="50"/>
        <v>0</v>
      </c>
      <c r="M130" s="167">
        <f t="shared" si="51"/>
        <v>0</v>
      </c>
      <c r="N130" s="168">
        <f t="shared" si="52"/>
        <v>0</v>
      </c>
      <c r="O130" s="165" t="str">
        <f t="shared" si="53"/>
        <v>VIOS G3</v>
      </c>
      <c r="P130" s="412">
        <v>45944</v>
      </c>
      <c r="Q130" s="169"/>
      <c r="R130" s="169"/>
      <c r="S130" s="169"/>
      <c r="T130" s="403"/>
      <c r="U130" s="407" t="s">
        <v>439</v>
      </c>
      <c r="V130" s="170" t="s">
        <v>294</v>
      </c>
      <c r="W130" s="169"/>
      <c r="X130" s="170" t="s">
        <v>49</v>
      </c>
      <c r="Y130" s="171" t="s">
        <v>292</v>
      </c>
      <c r="Z130" s="174" t="s">
        <v>275</v>
      </c>
      <c r="AA130" s="606">
        <f t="shared" si="46"/>
        <v>0</v>
      </c>
      <c r="AB130" s="247"/>
    </row>
    <row r="131" spans="1:30" x14ac:dyDescent="0.25">
      <c r="A131" s="407" t="s">
        <v>173</v>
      </c>
      <c r="B131" s="164" t="s">
        <v>394</v>
      </c>
      <c r="C131" s="164">
        <v>15</v>
      </c>
      <c r="D131" s="165" t="s">
        <v>70</v>
      </c>
      <c r="E131" s="555">
        <v>220.5</v>
      </c>
      <c r="F131" s="164">
        <v>1</v>
      </c>
      <c r="G131" s="197">
        <f t="shared" si="47"/>
        <v>0</v>
      </c>
      <c r="H131" s="166">
        <f>+Purchases!G27</f>
        <v>0</v>
      </c>
      <c r="I131" s="167">
        <f t="shared" si="48"/>
        <v>0</v>
      </c>
      <c r="J131" s="168">
        <f t="shared" si="49"/>
        <v>0</v>
      </c>
      <c r="K131" s="164"/>
      <c r="L131" s="166"/>
      <c r="M131" s="167"/>
      <c r="N131" s="168"/>
      <c r="O131" s="165"/>
      <c r="P131" s="412">
        <v>45944</v>
      </c>
      <c r="Q131" s="169"/>
      <c r="R131" s="169"/>
      <c r="S131" s="169"/>
      <c r="T131" s="403"/>
      <c r="U131" s="407" t="s">
        <v>439</v>
      </c>
      <c r="V131" s="170" t="s">
        <v>294</v>
      </c>
      <c r="W131" s="169"/>
      <c r="X131" s="170" t="s">
        <v>49</v>
      </c>
      <c r="Y131" s="171" t="s">
        <v>42</v>
      </c>
      <c r="Z131" s="174" t="s">
        <v>275</v>
      </c>
      <c r="AA131" s="605" t="s">
        <v>126</v>
      </c>
      <c r="AB131" s="287" t="str">
        <f>+LEFT(B131,11) &amp; "(" &amp; Y131 &amp; ")"</f>
        <v>XTENDIMAX® (10 L)</v>
      </c>
    </row>
    <row r="132" spans="1:30" x14ac:dyDescent="0.25">
      <c r="A132" s="407" t="s">
        <v>173</v>
      </c>
      <c r="B132" s="164" t="s">
        <v>395</v>
      </c>
      <c r="C132" s="164">
        <v>675</v>
      </c>
      <c r="D132" s="165" t="s">
        <v>72</v>
      </c>
      <c r="E132" s="555">
        <v>9922.5</v>
      </c>
      <c r="F132" s="164">
        <v>45</v>
      </c>
      <c r="G132" s="197">
        <f t="shared" si="47"/>
        <v>0</v>
      </c>
      <c r="H132" s="166">
        <f>+Purchases!G28</f>
        <v>0</v>
      </c>
      <c r="I132" s="167">
        <f t="shared" si="48"/>
        <v>0</v>
      </c>
      <c r="J132" s="168">
        <f t="shared" si="49"/>
        <v>0</v>
      </c>
      <c r="K132" s="164"/>
      <c r="L132" s="166"/>
      <c r="M132" s="167"/>
      <c r="N132" s="168"/>
      <c r="O132" s="165" t="str">
        <f>+A132</f>
        <v>XTENDIMAX</v>
      </c>
      <c r="P132" s="412">
        <v>45944</v>
      </c>
      <c r="Q132" s="169"/>
      <c r="R132" s="169"/>
      <c r="S132" s="169"/>
      <c r="T132" s="403"/>
      <c r="U132" s="407" t="s">
        <v>439</v>
      </c>
      <c r="V132" s="170" t="s">
        <v>294</v>
      </c>
      <c r="W132" s="169"/>
      <c r="X132" s="170" t="s">
        <v>49</v>
      </c>
      <c r="Y132" s="171" t="s">
        <v>260</v>
      </c>
      <c r="Z132" s="174" t="s">
        <v>276</v>
      </c>
      <c r="AA132" s="605" t="s">
        <v>126</v>
      </c>
      <c r="AB132" s="287" t="str">
        <f>+LEFT(B132,11) &amp; "(" &amp; Y132 &amp; ")"</f>
        <v>XTENDIMAX® (450 L)</v>
      </c>
    </row>
    <row r="133" spans="1:30" x14ac:dyDescent="0.25">
      <c r="A133" s="407" t="s">
        <v>402</v>
      </c>
      <c r="B133" s="164" t="s">
        <v>396</v>
      </c>
      <c r="C133" s="164">
        <v>20</v>
      </c>
      <c r="D133" s="165" t="s">
        <v>70</v>
      </c>
      <c r="E133" s="407">
        <v>326.25</v>
      </c>
      <c r="F133" s="164">
        <v>1</v>
      </c>
      <c r="G133" s="197">
        <f t="shared" ref="G133:G134" si="58">IF(B$3 =1, H133*C133, H133/C133)</f>
        <v>0</v>
      </c>
      <c r="H133" s="166">
        <f>+Purchases!G29</f>
        <v>0</v>
      </c>
      <c r="I133" s="167">
        <f t="shared" ref="I133:I134" si="59">IF(B$3 = 1, H133*E133, (H133/C133) *E133)</f>
        <v>0</v>
      </c>
      <c r="J133" s="168">
        <f t="shared" ref="J133:J134" si="60">IF($B$3 =1, H133*F133, (H133/C133) *F133)</f>
        <v>0</v>
      </c>
      <c r="K133" s="164"/>
      <c r="L133" s="166"/>
      <c r="M133" s="167"/>
      <c r="N133" s="168"/>
      <c r="O133" s="165"/>
      <c r="P133" s="412">
        <v>45944</v>
      </c>
      <c r="Q133" s="402"/>
      <c r="R133" s="402"/>
      <c r="S133" s="402"/>
      <c r="T133" s="403"/>
      <c r="U133" s="407" t="s">
        <v>439</v>
      </c>
      <c r="V133" s="170" t="s">
        <v>294</v>
      </c>
      <c r="W133" s="169"/>
      <c r="X133" s="170" t="s">
        <v>49</v>
      </c>
      <c r="Y133" s="171" t="s">
        <v>42</v>
      </c>
      <c r="Z133" s="174" t="s">
        <v>275</v>
      </c>
      <c r="AA133" s="605" t="s">
        <v>126</v>
      </c>
      <c r="AB133" s="287" t="str">
        <f>+LEFT(B133,13) &amp; "(" &amp; Y133 &amp; ")"</f>
        <v>XTENDIMAX® 2 (10 L)</v>
      </c>
    </row>
    <row r="134" spans="1:30" x14ac:dyDescent="0.25">
      <c r="A134" s="407" t="s">
        <v>402</v>
      </c>
      <c r="B134" s="164" t="s">
        <v>397</v>
      </c>
      <c r="C134" s="164">
        <v>900</v>
      </c>
      <c r="D134" s="165" t="s">
        <v>72</v>
      </c>
      <c r="E134" s="407">
        <v>14681.25</v>
      </c>
      <c r="F134" s="164">
        <v>45</v>
      </c>
      <c r="G134" s="197">
        <f t="shared" si="58"/>
        <v>0</v>
      </c>
      <c r="H134" s="166">
        <f>+Purchases!G31</f>
        <v>0</v>
      </c>
      <c r="I134" s="167">
        <f t="shared" si="59"/>
        <v>0</v>
      </c>
      <c r="J134" s="168">
        <f t="shared" si="60"/>
        <v>0</v>
      </c>
      <c r="K134" s="164"/>
      <c r="L134" s="166">
        <f>IF( $B$3 = 1,  SUM(G131:G134) + L145, SUM(H131:H134) + H145 )</f>
        <v>0</v>
      </c>
      <c r="M134" s="167">
        <f>SUM(I131:I134)+M145</f>
        <v>0</v>
      </c>
      <c r="N134" s="168">
        <f>SUM(J131:J134) +N145</f>
        <v>0</v>
      </c>
      <c r="O134" s="165" t="str">
        <f>+A134</f>
        <v>XTENDIMAX 2</v>
      </c>
      <c r="P134" s="412">
        <v>45944</v>
      </c>
      <c r="Q134" s="169"/>
      <c r="R134" s="169"/>
      <c r="S134" s="169"/>
      <c r="T134" s="403"/>
      <c r="U134" s="407" t="s">
        <v>439</v>
      </c>
      <c r="V134" s="170" t="s">
        <v>294</v>
      </c>
      <c r="W134" s="169"/>
      <c r="X134" s="170" t="s">
        <v>49</v>
      </c>
      <c r="Y134" s="171" t="s">
        <v>260</v>
      </c>
      <c r="Z134" s="174" t="s">
        <v>276</v>
      </c>
      <c r="AA134" s="606">
        <f t="shared" ref="AA134" si="61">IF(M134 &gt;= 1000, 1, 0)</f>
        <v>0</v>
      </c>
      <c r="AB134" s="287" t="str">
        <f>+LEFT(B134,13) &amp; "(" &amp; Y134 &amp; ")"</f>
        <v>XTENDIMAX® 2 (450 L)</v>
      </c>
    </row>
    <row r="135" spans="1:30" x14ac:dyDescent="0.25">
      <c r="A135" s="407" t="s">
        <v>31</v>
      </c>
      <c r="B135" s="164" t="s">
        <v>313</v>
      </c>
      <c r="C135" s="164">
        <v>2.5</v>
      </c>
      <c r="D135" s="165" t="s">
        <v>70</v>
      </c>
      <c r="E135" s="556"/>
      <c r="F135" s="164">
        <v>1</v>
      </c>
      <c r="G135" s="197">
        <f>IF(B$3 =1, H135*C135, H135/C135)</f>
        <v>0</v>
      </c>
      <c r="H135" s="166">
        <f>+Purchases!C39</f>
        <v>0</v>
      </c>
      <c r="I135" s="167">
        <f t="shared" si="48"/>
        <v>0</v>
      </c>
      <c r="J135" s="168">
        <f t="shared" si="49"/>
        <v>0</v>
      </c>
      <c r="K135" s="164"/>
      <c r="L135" s="166">
        <f t="shared" si="50"/>
        <v>0</v>
      </c>
      <c r="M135" s="167">
        <f t="shared" si="51"/>
        <v>0</v>
      </c>
      <c r="N135" s="168">
        <f t="shared" si="52"/>
        <v>0</v>
      </c>
      <c r="O135" s="165" t="str">
        <f t="shared" si="53"/>
        <v>Corn Trait</v>
      </c>
      <c r="P135" s="412">
        <v>45944</v>
      </c>
      <c r="Q135" s="402"/>
      <c r="R135" s="402"/>
      <c r="S135" s="402"/>
      <c r="T135" s="403"/>
      <c r="U135" s="407" t="s">
        <v>439</v>
      </c>
      <c r="V135" s="170" t="s">
        <v>294</v>
      </c>
      <c r="W135" s="169"/>
      <c r="X135" s="170" t="s">
        <v>225</v>
      </c>
      <c r="Y135" s="171" t="s">
        <v>264</v>
      </c>
      <c r="Z135" s="174" t="s">
        <v>293</v>
      </c>
      <c r="AA135" s="605" t="s">
        <v>126</v>
      </c>
      <c r="AB135" s="247"/>
    </row>
    <row r="136" spans="1:30" x14ac:dyDescent="0.25">
      <c r="A136" s="407" t="s">
        <v>30</v>
      </c>
      <c r="B136" s="164" t="s">
        <v>312</v>
      </c>
      <c r="C136" s="164">
        <v>0.74</v>
      </c>
      <c r="D136" s="165" t="s">
        <v>70</v>
      </c>
      <c r="E136" s="556"/>
      <c r="F136" s="164">
        <v>1</v>
      </c>
      <c r="G136" s="197">
        <f t="shared" si="47"/>
        <v>0</v>
      </c>
      <c r="H136" s="166">
        <f>+Purchases!C40</f>
        <v>0</v>
      </c>
      <c r="I136" s="167">
        <f t="shared" si="48"/>
        <v>0</v>
      </c>
      <c r="J136" s="168">
        <f t="shared" si="49"/>
        <v>0</v>
      </c>
      <c r="K136" s="164"/>
      <c r="L136" s="166">
        <f t="shared" si="50"/>
        <v>0</v>
      </c>
      <c r="M136" s="167">
        <f t="shared" si="51"/>
        <v>0</v>
      </c>
      <c r="N136" s="168">
        <f t="shared" si="52"/>
        <v>0</v>
      </c>
      <c r="O136" s="165" t="str">
        <f t="shared" si="53"/>
        <v>Soybean Trait</v>
      </c>
      <c r="P136" s="412">
        <v>45944</v>
      </c>
      <c r="Q136" s="402"/>
      <c r="R136" s="402"/>
      <c r="S136" s="402"/>
      <c r="T136" s="403"/>
      <c r="U136" s="407" t="s">
        <v>439</v>
      </c>
      <c r="V136" s="170" t="s">
        <v>294</v>
      </c>
      <c r="W136" s="169"/>
      <c r="X136" s="169" t="s">
        <v>225</v>
      </c>
      <c r="Y136" s="171" t="s">
        <v>272</v>
      </c>
      <c r="Z136" s="174" t="s">
        <v>293</v>
      </c>
      <c r="AA136" s="605" t="s">
        <v>126</v>
      </c>
      <c r="AB136" s="247"/>
    </row>
    <row r="137" spans="1:30" x14ac:dyDescent="0.25">
      <c r="A137" s="407" t="s">
        <v>314</v>
      </c>
      <c r="B137" s="164" t="s">
        <v>316</v>
      </c>
      <c r="C137" s="164">
        <v>40</v>
      </c>
      <c r="D137" s="165" t="s">
        <v>70</v>
      </c>
      <c r="E137" s="407">
        <v>745.75</v>
      </c>
      <c r="F137" s="164">
        <v>1</v>
      </c>
      <c r="G137" s="197">
        <f t="shared" ref="G137:G142" si="62">IF(B$3 =1, H137*C137, H137/C137)</f>
        <v>0</v>
      </c>
      <c r="H137" s="166">
        <f>+Purchases!C27</f>
        <v>0</v>
      </c>
      <c r="I137" s="167">
        <f t="shared" ref="I137:I142" si="63">IF(B$3 = 1, H137*E137, (H137/C137) *E137)</f>
        <v>0</v>
      </c>
      <c r="J137" s="168">
        <f t="shared" ref="J137:J142" si="64">IF($B$3 =1, H137*F137, (H137/C137) *F137)</f>
        <v>0</v>
      </c>
      <c r="K137" s="164"/>
      <c r="L137" s="166">
        <f t="shared" ref="L137" si="65">IF( $B$3 = 1,  G137,H137 )</f>
        <v>0</v>
      </c>
      <c r="M137" s="167">
        <f t="shared" ref="M137" si="66">+I137</f>
        <v>0</v>
      </c>
      <c r="N137" s="168">
        <f t="shared" ref="N137" si="67">+J137</f>
        <v>0</v>
      </c>
      <c r="O137" s="165" t="str">
        <f t="shared" ref="O137" si="68">+A137</f>
        <v>LAUDIS</v>
      </c>
      <c r="P137" s="412">
        <v>45944</v>
      </c>
      <c r="Q137" s="402"/>
      <c r="R137" s="402"/>
      <c r="S137" s="402"/>
      <c r="T137" s="403"/>
      <c r="U137" s="407" t="s">
        <v>439</v>
      </c>
      <c r="V137" s="170" t="s">
        <v>294</v>
      </c>
      <c r="W137" s="169"/>
      <c r="X137" s="170" t="s">
        <v>49</v>
      </c>
      <c r="Y137" s="171" t="s">
        <v>315</v>
      </c>
      <c r="Z137" s="174" t="s">
        <v>275</v>
      </c>
      <c r="AA137" s="606">
        <f t="shared" si="46"/>
        <v>0</v>
      </c>
      <c r="AB137" s="247"/>
    </row>
    <row r="138" spans="1:30" x14ac:dyDescent="0.25">
      <c r="A138" s="407" t="s">
        <v>317</v>
      </c>
      <c r="B138" s="164" t="s">
        <v>336</v>
      </c>
      <c r="C138" s="164">
        <v>20</v>
      </c>
      <c r="D138" s="165" t="s">
        <v>70</v>
      </c>
      <c r="E138" s="407">
        <v>535.25</v>
      </c>
      <c r="F138" s="164">
        <v>1</v>
      </c>
      <c r="G138" s="89">
        <f t="shared" si="62"/>
        <v>0</v>
      </c>
      <c r="H138" s="65">
        <f>+Purchases!G13</f>
        <v>0</v>
      </c>
      <c r="I138" s="92">
        <f t="shared" si="63"/>
        <v>0</v>
      </c>
      <c r="J138" s="73">
        <f t="shared" si="64"/>
        <v>0</v>
      </c>
      <c r="K138" s="77"/>
      <c r="L138" s="67"/>
      <c r="M138" s="93"/>
      <c r="N138" s="66"/>
      <c r="O138" s="86"/>
      <c r="P138" s="412">
        <v>45944</v>
      </c>
      <c r="Q138" s="402"/>
      <c r="R138" s="402"/>
      <c r="S138" s="402"/>
      <c r="T138" s="403"/>
      <c r="U138" s="407" t="s">
        <v>439</v>
      </c>
      <c r="V138" s="170" t="s">
        <v>294</v>
      </c>
      <c r="W138" s="169"/>
      <c r="X138" s="170" t="s">
        <v>50</v>
      </c>
      <c r="Y138" s="171" t="s">
        <v>40</v>
      </c>
      <c r="Z138" s="174" t="s">
        <v>275</v>
      </c>
      <c r="AA138" s="605" t="s">
        <v>126</v>
      </c>
      <c r="AB138" s="247"/>
    </row>
    <row r="139" spans="1:30" x14ac:dyDescent="0.25">
      <c r="A139" s="407" t="s">
        <v>317</v>
      </c>
      <c r="B139" s="164" t="s">
        <v>348</v>
      </c>
      <c r="C139" s="164">
        <v>320</v>
      </c>
      <c r="D139" s="165" t="s">
        <v>72</v>
      </c>
      <c r="E139" s="407">
        <v>8564</v>
      </c>
      <c r="F139" s="164">
        <v>16</v>
      </c>
      <c r="G139" s="89">
        <f t="shared" si="62"/>
        <v>0</v>
      </c>
      <c r="H139" s="65">
        <f>+Purchases!G14</f>
        <v>0</v>
      </c>
      <c r="I139" s="92">
        <f t="shared" si="63"/>
        <v>0</v>
      </c>
      <c r="J139" s="73">
        <f t="shared" si="64"/>
        <v>0</v>
      </c>
      <c r="K139" s="77"/>
      <c r="L139" s="67">
        <f>IF( $B$3 = 1,  SUM(G138:G139), SUM(H138:H139) )</f>
        <v>0</v>
      </c>
      <c r="M139" s="93">
        <f>+I138+I139</f>
        <v>0</v>
      </c>
      <c r="N139" s="66">
        <f>+J138+J139</f>
        <v>0</v>
      </c>
      <c r="O139" s="86" t="str">
        <f t="shared" ref="O139:O144" si="69">+A139</f>
        <v>PROSARO PRO</v>
      </c>
      <c r="P139" s="412">
        <v>45944</v>
      </c>
      <c r="Q139" s="402"/>
      <c r="R139" s="402"/>
      <c r="S139" s="402"/>
      <c r="T139" s="403"/>
      <c r="U139" s="407" t="s">
        <v>439</v>
      </c>
      <c r="V139" s="170" t="s">
        <v>294</v>
      </c>
      <c r="W139" s="169"/>
      <c r="X139" s="170" t="s">
        <v>50</v>
      </c>
      <c r="Y139" s="171" t="s">
        <v>349</v>
      </c>
      <c r="Z139" s="174" t="s">
        <v>276</v>
      </c>
      <c r="AA139" s="606">
        <f t="shared" si="46"/>
        <v>0</v>
      </c>
      <c r="AB139" s="247"/>
    </row>
    <row r="140" spans="1:30" x14ac:dyDescent="0.25">
      <c r="A140" s="407" t="s">
        <v>318</v>
      </c>
      <c r="B140" s="164" t="s">
        <v>339</v>
      </c>
      <c r="C140" s="164">
        <v>15</v>
      </c>
      <c r="D140" s="165" t="s">
        <v>70</v>
      </c>
      <c r="E140" s="407">
        <v>306.75</v>
      </c>
      <c r="F140" s="164">
        <v>1</v>
      </c>
      <c r="G140" s="89">
        <f t="shared" si="62"/>
        <v>0</v>
      </c>
      <c r="H140" s="65">
        <v>0</v>
      </c>
      <c r="I140" s="92">
        <f t="shared" si="63"/>
        <v>0</v>
      </c>
      <c r="J140" s="73">
        <f t="shared" si="64"/>
        <v>0</v>
      </c>
      <c r="K140" s="77"/>
      <c r="L140" s="67"/>
      <c r="M140" s="93"/>
      <c r="N140" s="296"/>
      <c r="O140" s="86" t="str">
        <f t="shared" si="69"/>
        <v xml:space="preserve">SENCOR 480 </v>
      </c>
      <c r="P140" s="412">
        <v>45944</v>
      </c>
      <c r="Q140" s="402"/>
      <c r="R140" s="402"/>
      <c r="S140" s="402"/>
      <c r="T140" s="403"/>
      <c r="U140" s="407" t="s">
        <v>439</v>
      </c>
      <c r="V140" s="170" t="s">
        <v>294</v>
      </c>
      <c r="W140" s="169"/>
      <c r="X140" s="170" t="s">
        <v>49</v>
      </c>
      <c r="Y140" s="171" t="s">
        <v>43</v>
      </c>
      <c r="Z140" s="174" t="s">
        <v>275</v>
      </c>
      <c r="AA140" s="605" t="s">
        <v>126</v>
      </c>
      <c r="AB140" s="247"/>
    </row>
    <row r="141" spans="1:30" ht="14.25" customHeight="1" x14ac:dyDescent="0.25">
      <c r="A141" s="407" t="s">
        <v>318</v>
      </c>
      <c r="B141" s="164" t="s">
        <v>343</v>
      </c>
      <c r="C141" s="164">
        <v>3000</v>
      </c>
      <c r="D141" s="165" t="s">
        <v>72</v>
      </c>
      <c r="E141" s="556"/>
      <c r="F141" s="164">
        <v>200</v>
      </c>
      <c r="G141" s="89">
        <f t="shared" si="62"/>
        <v>0</v>
      </c>
      <c r="H141" s="65">
        <v>0</v>
      </c>
      <c r="I141" s="92">
        <f t="shared" si="63"/>
        <v>0</v>
      </c>
      <c r="J141" s="73">
        <f t="shared" si="64"/>
        <v>0</v>
      </c>
      <c r="K141" s="77"/>
      <c r="L141" s="67"/>
      <c r="M141" s="93"/>
      <c r="N141" s="296"/>
      <c r="O141" s="86" t="str">
        <f t="shared" si="69"/>
        <v xml:space="preserve">SENCOR 480 </v>
      </c>
      <c r="P141" s="412">
        <v>45944</v>
      </c>
      <c r="Q141" s="169"/>
      <c r="R141" s="169"/>
      <c r="S141" s="169"/>
      <c r="T141" s="404"/>
      <c r="U141" s="407" t="s">
        <v>440</v>
      </c>
      <c r="V141" s="170" t="s">
        <v>294</v>
      </c>
      <c r="W141" s="169"/>
      <c r="X141" s="170" t="s">
        <v>49</v>
      </c>
      <c r="Y141" s="171">
        <v>1000</v>
      </c>
      <c r="Z141" s="174" t="s">
        <v>344</v>
      </c>
      <c r="AA141" s="605" t="s">
        <v>126</v>
      </c>
      <c r="AB141" s="247"/>
    </row>
    <row r="142" spans="1:30" x14ac:dyDescent="0.25">
      <c r="A142" s="407" t="s">
        <v>116</v>
      </c>
      <c r="B142" s="164" t="s">
        <v>340</v>
      </c>
      <c r="C142" s="164">
        <v>10</v>
      </c>
      <c r="D142" s="165" t="s">
        <v>70</v>
      </c>
      <c r="E142" s="407">
        <v>189.75</v>
      </c>
      <c r="F142" s="164">
        <v>1</v>
      </c>
      <c r="G142" s="89">
        <f t="shared" si="62"/>
        <v>0</v>
      </c>
      <c r="H142" s="65">
        <v>0</v>
      </c>
      <c r="I142" s="92">
        <f t="shared" si="63"/>
        <v>0</v>
      </c>
      <c r="J142" s="73">
        <f t="shared" si="64"/>
        <v>0</v>
      </c>
      <c r="K142" s="77"/>
      <c r="L142" s="67">
        <f>IF( $B$3 = 1,  SUM(G140:G142), SUM(H140:H142) )</f>
        <v>0</v>
      </c>
      <c r="M142" s="93">
        <f>SUM(I140:I142)</f>
        <v>0</v>
      </c>
      <c r="N142" s="296">
        <f>SUM(J140:J142)</f>
        <v>0</v>
      </c>
      <c r="O142" s="86" t="str">
        <f t="shared" si="69"/>
        <v>SENCOR 75 DF</v>
      </c>
      <c r="P142" s="412">
        <v>45944</v>
      </c>
      <c r="Q142" s="402"/>
      <c r="R142" s="402"/>
      <c r="S142" s="402"/>
      <c r="T142" s="403"/>
      <c r="U142" s="407" t="s">
        <v>439</v>
      </c>
      <c r="V142" s="170" t="s">
        <v>294</v>
      </c>
      <c r="W142" s="169"/>
      <c r="X142" s="170" t="s">
        <v>49</v>
      </c>
      <c r="Y142" s="171" t="s">
        <v>43</v>
      </c>
      <c r="Z142" s="174" t="s">
        <v>275</v>
      </c>
      <c r="AA142" s="605" t="s">
        <v>126</v>
      </c>
      <c r="AB142" s="293"/>
      <c r="AC142" s="33"/>
      <c r="AD142" s="33"/>
    </row>
    <row r="143" spans="1:30" x14ac:dyDescent="0.25">
      <c r="A143" s="407" t="s">
        <v>351</v>
      </c>
      <c r="B143" s="201" t="s">
        <v>387</v>
      </c>
      <c r="C143" s="201">
        <v>30</v>
      </c>
      <c r="D143" s="202" t="s">
        <v>70</v>
      </c>
      <c r="E143" s="407">
        <v>855.75</v>
      </c>
      <c r="F143" s="201">
        <v>1</v>
      </c>
      <c r="G143" s="196">
        <f t="shared" ref="G143" si="70">IF(B$3 =1, H143*C143, H143/C143)</f>
        <v>0</v>
      </c>
      <c r="H143" s="156">
        <f>+Purchases!C18</f>
        <v>0</v>
      </c>
      <c r="I143" s="194">
        <f t="shared" ref="I143" si="71">IF(B$3 = 1, H143*E143, (H143/C143) *E143)</f>
        <v>0</v>
      </c>
      <c r="J143" s="195">
        <f t="shared" ref="J143" si="72">IF($B$3 =1, H143*F143, (H143/C143) *F143)</f>
        <v>0</v>
      </c>
      <c r="K143" s="155"/>
      <c r="L143" s="118">
        <f>IF( $B$3 = 1,  G143,H143 )</f>
        <v>0</v>
      </c>
      <c r="M143" s="157">
        <f t="shared" ref="M143" si="73">+I143</f>
        <v>0</v>
      </c>
      <c r="N143" s="297">
        <f t="shared" ref="N143" si="74">+J143</f>
        <v>0</v>
      </c>
      <c r="O143" s="203" t="str">
        <f t="shared" si="69"/>
        <v>CORVUS</v>
      </c>
      <c r="P143" s="412">
        <v>45944</v>
      </c>
      <c r="Q143" s="402"/>
      <c r="R143" s="402"/>
      <c r="S143" s="402"/>
      <c r="T143" s="403"/>
      <c r="U143" s="407" t="s">
        <v>439</v>
      </c>
      <c r="V143" s="205" t="s">
        <v>294</v>
      </c>
      <c r="W143" s="204"/>
      <c r="X143" s="205" t="s">
        <v>49</v>
      </c>
      <c r="Y143" s="206" t="s">
        <v>350</v>
      </c>
      <c r="Z143" s="199" t="s">
        <v>275</v>
      </c>
      <c r="AA143" s="607">
        <f t="shared" ref="AA143" si="75">IF(M143 &gt;= 1000, 1, 0)</f>
        <v>0</v>
      </c>
      <c r="AB143" s="293"/>
      <c r="AC143" s="33"/>
    </row>
    <row r="144" spans="1:30" x14ac:dyDescent="0.25">
      <c r="A144" s="407" t="s">
        <v>75</v>
      </c>
      <c r="B144" s="287" t="s">
        <v>357</v>
      </c>
      <c r="C144" s="287">
        <v>480</v>
      </c>
      <c r="D144" s="287" t="s">
        <v>72</v>
      </c>
      <c r="E144" s="407">
        <v>11228</v>
      </c>
      <c r="F144" s="287">
        <v>16</v>
      </c>
      <c r="G144" s="288">
        <f t="shared" ref="G144" si="76">IF(B$3 =1, H144*C144, H144/C144)</f>
        <v>0</v>
      </c>
      <c r="H144" s="289">
        <f>+Purchases!C20</f>
        <v>0</v>
      </c>
      <c r="I144" s="290">
        <f>IF(B$3 = 1, H144*E144, (H144/C144) *E144)</f>
        <v>0</v>
      </c>
      <c r="J144" s="291">
        <f t="shared" ref="J144" si="77">IF($B$3 =1, H144*F144, (H144/C144) *F144)</f>
        <v>0</v>
      </c>
      <c r="K144" s="287"/>
      <c r="L144" s="289">
        <f>IF($B$3=1,G144,H144)</f>
        <v>0</v>
      </c>
      <c r="M144" s="290">
        <f>+I144</f>
        <v>0</v>
      </c>
      <c r="N144" s="291">
        <f>+J144</f>
        <v>0</v>
      </c>
      <c r="O144" s="292" t="str">
        <f t="shared" si="69"/>
        <v>DELARO</v>
      </c>
      <c r="P144" s="412">
        <v>45944</v>
      </c>
      <c r="Q144" s="402"/>
      <c r="R144" s="402"/>
      <c r="S144" s="402"/>
      <c r="T144" s="403"/>
      <c r="U144" s="407" t="s">
        <v>439</v>
      </c>
      <c r="V144" s="293" t="s">
        <v>294</v>
      </c>
      <c r="W144" s="247"/>
      <c r="X144" s="293" t="s">
        <v>50</v>
      </c>
      <c r="Y144" s="294" t="s">
        <v>358</v>
      </c>
      <c r="Z144" s="247" t="s">
        <v>276</v>
      </c>
      <c r="AA144" s="605"/>
      <c r="AB144" s="612" t="s">
        <v>324</v>
      </c>
      <c r="AC144" s="610">
        <f>SUM(AA108:AA160)</f>
        <v>0</v>
      </c>
    </row>
    <row r="145" spans="1:30" x14ac:dyDescent="0.25">
      <c r="A145" s="407" t="s">
        <v>173</v>
      </c>
      <c r="B145" s="298" t="s">
        <v>398</v>
      </c>
      <c r="C145" s="299">
        <v>245</v>
      </c>
      <c r="D145" s="298" t="s">
        <v>72</v>
      </c>
      <c r="E145" s="407">
        <v>3992.5</v>
      </c>
      <c r="F145" s="286">
        <v>12.238</v>
      </c>
      <c r="G145" s="300">
        <f t="shared" ref="G145" si="78">IF(B$3 =1, H145*C145, H145/C145)</f>
        <v>0</v>
      </c>
      <c r="H145" s="301">
        <f>+Purchases!G30</f>
        <v>0</v>
      </c>
      <c r="I145" s="302">
        <f>IF(B$3 = 1, H145*E145, (H145/C145) *E145)</f>
        <v>0</v>
      </c>
      <c r="J145" s="303">
        <f t="shared" ref="J145" si="79">IF($B$3 =1, H145*F145, (H145/C145) *F145)</f>
        <v>0</v>
      </c>
      <c r="K145" s="298"/>
      <c r="L145" s="301">
        <f>IF($B$3=1,G145,H145)</f>
        <v>0</v>
      </c>
      <c r="M145" s="302">
        <f>+I145</f>
        <v>0</v>
      </c>
      <c r="N145" s="303">
        <f>+J145</f>
        <v>0</v>
      </c>
      <c r="O145" s="304" t="str">
        <f t="shared" ref="O145" si="80">+A145</f>
        <v>XTENDIMAX</v>
      </c>
      <c r="P145" s="412">
        <v>45944</v>
      </c>
      <c r="Q145" s="402"/>
      <c r="R145" s="402"/>
      <c r="S145" s="402"/>
      <c r="T145" s="403"/>
      <c r="U145" s="407" t="s">
        <v>439</v>
      </c>
      <c r="V145" s="305" t="s">
        <v>294</v>
      </c>
      <c r="W145" s="286"/>
      <c r="X145" s="305" t="s">
        <v>49</v>
      </c>
      <c r="Y145" s="306" t="s">
        <v>399</v>
      </c>
      <c r="Z145" s="286" t="s">
        <v>276</v>
      </c>
      <c r="AA145" s="608"/>
      <c r="AB145" s="287" t="str">
        <f>+LEFT(B145,13) &amp; "(" &amp; Y145 &amp; ")"</f>
        <v>XTENDIMAX® 2 (122.38 L)</v>
      </c>
    </row>
    <row r="146" spans="1:30" x14ac:dyDescent="0.25">
      <c r="A146" s="407" t="s">
        <v>373</v>
      </c>
      <c r="B146" s="307" t="s">
        <v>379</v>
      </c>
      <c r="C146" s="308">
        <v>15</v>
      </c>
      <c r="D146" s="307" t="s">
        <v>70</v>
      </c>
      <c r="E146" s="556"/>
      <c r="F146" s="309">
        <v>1</v>
      </c>
      <c r="G146" s="310">
        <f>IF(B$3 =1, H146*C146, H146/C146)</f>
        <v>0</v>
      </c>
      <c r="H146" s="301">
        <v>0</v>
      </c>
      <c r="I146" s="302">
        <f t="shared" ref="I146:I153" si="81">IF(B$3 = 1, H146*E146, (H146/C146) *E146)</f>
        <v>0</v>
      </c>
      <c r="J146" s="313">
        <f>IF($B$3 =1, H146*F146, (H146/C146) *F146)</f>
        <v>0</v>
      </c>
      <c r="K146" s="307"/>
      <c r="L146" s="311"/>
      <c r="M146" s="312"/>
      <c r="N146" s="313"/>
      <c r="O146" s="314" t="str">
        <f>+A146</f>
        <v>ROUNDUP TRANSORB</v>
      </c>
      <c r="P146" s="411">
        <v>45944</v>
      </c>
      <c r="Q146" s="309"/>
      <c r="R146" s="309"/>
      <c r="S146" s="309"/>
      <c r="T146" s="405"/>
      <c r="U146" s="407" t="s">
        <v>440</v>
      </c>
      <c r="V146" s="315" t="s">
        <v>294</v>
      </c>
      <c r="W146" s="309"/>
      <c r="X146" s="315" t="s">
        <v>49</v>
      </c>
      <c r="Y146" s="316" t="s">
        <v>42</v>
      </c>
      <c r="Z146" s="309" t="s">
        <v>275</v>
      </c>
      <c r="AA146" s="608"/>
      <c r="AB146" s="247"/>
    </row>
    <row r="147" spans="1:30" x14ac:dyDescent="0.25">
      <c r="A147" s="407" t="s">
        <v>373</v>
      </c>
      <c r="B147" s="307" t="s">
        <v>380</v>
      </c>
      <c r="C147" s="308">
        <v>172</v>
      </c>
      <c r="D147" s="307" t="s">
        <v>72</v>
      </c>
      <c r="E147" s="556"/>
      <c r="F147" s="309">
        <v>11.5</v>
      </c>
      <c r="G147" s="310">
        <f t="shared" ref="G147:G149" si="82">IF(B$3 =1, H147*C147, H147/C147)</f>
        <v>0</v>
      </c>
      <c r="H147" s="301">
        <v>0</v>
      </c>
      <c r="I147" s="302">
        <f t="shared" si="81"/>
        <v>0</v>
      </c>
      <c r="J147" s="313">
        <f t="shared" ref="J147:J149" si="83">IF($B$3 =1, H147*F147, (H147/C147) *F147)</f>
        <v>0</v>
      </c>
      <c r="K147" s="307"/>
      <c r="L147" s="311"/>
      <c r="M147" s="312"/>
      <c r="N147" s="313"/>
      <c r="O147" s="314" t="str">
        <f t="shared" ref="O147:O149" si="84">+A147</f>
        <v>ROUNDUP TRANSORB</v>
      </c>
      <c r="P147" s="411">
        <v>45944</v>
      </c>
      <c r="Q147" s="309"/>
      <c r="R147" s="309"/>
      <c r="S147" s="309"/>
      <c r="T147" s="405"/>
      <c r="U147" s="407" t="s">
        <v>440</v>
      </c>
      <c r="V147" s="315" t="s">
        <v>294</v>
      </c>
      <c r="W147" s="309"/>
      <c r="X147" s="315" t="s">
        <v>49</v>
      </c>
      <c r="Y147" s="316" t="s">
        <v>259</v>
      </c>
      <c r="Z147" s="309" t="s">
        <v>372</v>
      </c>
      <c r="AA147" s="608"/>
      <c r="AB147" s="247"/>
    </row>
    <row r="148" spans="1:30" x14ac:dyDescent="0.25">
      <c r="A148" s="407" t="s">
        <v>373</v>
      </c>
      <c r="B148" s="307" t="s">
        <v>381</v>
      </c>
      <c r="C148" s="308">
        <v>675</v>
      </c>
      <c r="D148" s="307" t="s">
        <v>72</v>
      </c>
      <c r="E148" s="556"/>
      <c r="F148" s="309">
        <v>45</v>
      </c>
      <c r="G148" s="310">
        <f t="shared" si="82"/>
        <v>0</v>
      </c>
      <c r="H148" s="301">
        <v>0</v>
      </c>
      <c r="I148" s="302">
        <f t="shared" si="81"/>
        <v>0</v>
      </c>
      <c r="J148" s="313">
        <f t="shared" si="83"/>
        <v>0</v>
      </c>
      <c r="K148" s="307"/>
      <c r="L148" s="311"/>
      <c r="M148" s="312"/>
      <c r="N148" s="313"/>
      <c r="O148" s="314" t="str">
        <f t="shared" si="84"/>
        <v>ROUNDUP TRANSORB</v>
      </c>
      <c r="P148" s="411">
        <v>45944</v>
      </c>
      <c r="Q148" s="309"/>
      <c r="R148" s="309"/>
      <c r="S148" s="309"/>
      <c r="T148" s="405"/>
      <c r="U148" s="407" t="s">
        <v>440</v>
      </c>
      <c r="V148" s="315" t="s">
        <v>294</v>
      </c>
      <c r="W148" s="309"/>
      <c r="X148" s="315" t="s">
        <v>49</v>
      </c>
      <c r="Y148" s="316" t="s">
        <v>260</v>
      </c>
      <c r="Z148" s="309" t="s">
        <v>372</v>
      </c>
      <c r="AA148" s="608"/>
      <c r="AB148" s="247"/>
    </row>
    <row r="149" spans="1:30" x14ac:dyDescent="0.25">
      <c r="A149" s="407" t="s">
        <v>373</v>
      </c>
      <c r="B149" s="307" t="s">
        <v>382</v>
      </c>
      <c r="C149" s="308">
        <v>1200</v>
      </c>
      <c r="D149" s="307" t="s">
        <v>72</v>
      </c>
      <c r="E149" s="556"/>
      <c r="F149" s="309">
        <v>80</v>
      </c>
      <c r="G149" s="310">
        <f t="shared" si="82"/>
        <v>0</v>
      </c>
      <c r="H149" s="301">
        <v>0</v>
      </c>
      <c r="I149" s="302">
        <f t="shared" si="81"/>
        <v>0</v>
      </c>
      <c r="J149" s="313">
        <f t="shared" si="83"/>
        <v>0</v>
      </c>
      <c r="K149" s="307"/>
      <c r="L149" s="311"/>
      <c r="M149" s="312"/>
      <c r="N149" s="313"/>
      <c r="O149" s="314" t="str">
        <f t="shared" si="84"/>
        <v>ROUNDUP TRANSORB</v>
      </c>
      <c r="P149" s="411">
        <v>45944</v>
      </c>
      <c r="Q149" s="309"/>
      <c r="R149" s="309"/>
      <c r="S149" s="309"/>
      <c r="T149" s="405"/>
      <c r="U149" s="407" t="s">
        <v>440</v>
      </c>
      <c r="V149" s="315" t="s">
        <v>294</v>
      </c>
      <c r="W149" s="309"/>
      <c r="X149" s="315" t="s">
        <v>49</v>
      </c>
      <c r="Y149" s="316" t="s">
        <v>261</v>
      </c>
      <c r="Z149" s="309" t="s">
        <v>372</v>
      </c>
      <c r="AA149" s="608"/>
      <c r="AB149" s="247"/>
    </row>
    <row r="150" spans="1:30" x14ac:dyDescent="0.25">
      <c r="A150" s="407" t="s">
        <v>216</v>
      </c>
      <c r="B150" s="307" t="s">
        <v>374</v>
      </c>
      <c r="C150" s="308">
        <v>15</v>
      </c>
      <c r="D150" s="307" t="s">
        <v>70</v>
      </c>
      <c r="E150" s="556"/>
      <c r="F150" s="309">
        <v>1</v>
      </c>
      <c r="G150" s="310">
        <f>IF(B$3 =1, H150*C150, H150/C150)</f>
        <v>0</v>
      </c>
      <c r="H150" s="301">
        <v>0</v>
      </c>
      <c r="I150" s="302">
        <f t="shared" si="81"/>
        <v>0</v>
      </c>
      <c r="J150" s="313">
        <f>IF($B$3 =1, H150*F150, (H150/C150) *F150)</f>
        <v>0</v>
      </c>
      <c r="K150" s="307"/>
      <c r="L150" s="311"/>
      <c r="M150" s="312"/>
      <c r="N150" s="313"/>
      <c r="O150" s="314" t="str">
        <f>+A150</f>
        <v>ROUNDUP WEATHERMAX</v>
      </c>
      <c r="P150" s="411">
        <v>45944</v>
      </c>
      <c r="Q150" s="309"/>
      <c r="R150" s="309"/>
      <c r="S150" s="309"/>
      <c r="T150" s="405"/>
      <c r="U150" s="407" t="s">
        <v>440</v>
      </c>
      <c r="V150" s="315" t="s">
        <v>294</v>
      </c>
      <c r="W150" s="309"/>
      <c r="X150" s="315" t="s">
        <v>49</v>
      </c>
      <c r="Y150" s="316" t="s">
        <v>42</v>
      </c>
      <c r="Z150" s="309" t="s">
        <v>275</v>
      </c>
      <c r="AA150" s="608"/>
      <c r="AB150" s="247"/>
    </row>
    <row r="151" spans="1:30" x14ac:dyDescent="0.25">
      <c r="A151" s="407" t="s">
        <v>216</v>
      </c>
      <c r="B151" s="307" t="s">
        <v>375</v>
      </c>
      <c r="C151" s="308">
        <v>172</v>
      </c>
      <c r="D151" s="307" t="s">
        <v>72</v>
      </c>
      <c r="E151" s="556"/>
      <c r="F151" s="309">
        <v>11.5</v>
      </c>
      <c r="G151" s="310">
        <f t="shared" ref="G151:G153" si="85">IF(B$3 =1, H151*C151, H151/C151)</f>
        <v>0</v>
      </c>
      <c r="H151" s="301">
        <v>0</v>
      </c>
      <c r="I151" s="302">
        <f t="shared" si="81"/>
        <v>0</v>
      </c>
      <c r="J151" s="313">
        <f t="shared" ref="J151:J154" si="86">IF($B$3 =1, H151*F151, (H151/C151) *F151)</f>
        <v>0</v>
      </c>
      <c r="K151" s="307"/>
      <c r="L151" s="311"/>
      <c r="M151" s="312"/>
      <c r="N151" s="313"/>
      <c r="O151" s="314" t="str">
        <f t="shared" ref="O151:O153" si="87">+A151</f>
        <v>ROUNDUP WEATHERMAX</v>
      </c>
      <c r="P151" s="411">
        <v>45944</v>
      </c>
      <c r="Q151" s="309"/>
      <c r="R151" s="309"/>
      <c r="S151" s="309"/>
      <c r="T151" s="405"/>
      <c r="U151" s="407" t="s">
        <v>440</v>
      </c>
      <c r="V151" s="315" t="s">
        <v>294</v>
      </c>
      <c r="W151" s="309"/>
      <c r="X151" s="315" t="s">
        <v>49</v>
      </c>
      <c r="Y151" s="316" t="s">
        <v>259</v>
      </c>
      <c r="Z151" s="309" t="s">
        <v>372</v>
      </c>
      <c r="AA151" s="608"/>
      <c r="AB151" s="247"/>
    </row>
    <row r="152" spans="1:30" x14ac:dyDescent="0.25">
      <c r="A152" s="407" t="s">
        <v>216</v>
      </c>
      <c r="B152" s="307" t="s">
        <v>376</v>
      </c>
      <c r="C152" s="308">
        <v>675</v>
      </c>
      <c r="D152" s="307" t="s">
        <v>72</v>
      </c>
      <c r="E152" s="556"/>
      <c r="F152" s="309">
        <v>45</v>
      </c>
      <c r="G152" s="310">
        <f t="shared" si="85"/>
        <v>0</v>
      </c>
      <c r="H152" s="301">
        <v>0</v>
      </c>
      <c r="I152" s="302">
        <f t="shared" si="81"/>
        <v>0</v>
      </c>
      <c r="J152" s="313">
        <f t="shared" si="86"/>
        <v>0</v>
      </c>
      <c r="K152" s="307"/>
      <c r="L152" s="311"/>
      <c r="M152" s="312"/>
      <c r="N152" s="313"/>
      <c r="O152" s="314" t="str">
        <f t="shared" si="87"/>
        <v>ROUNDUP WEATHERMAX</v>
      </c>
      <c r="P152" s="411">
        <v>45944</v>
      </c>
      <c r="Q152" s="309"/>
      <c r="R152" s="309"/>
      <c r="S152" s="309"/>
      <c r="T152" s="405"/>
      <c r="U152" s="407" t="s">
        <v>440</v>
      </c>
      <c r="V152" s="315" t="s">
        <v>294</v>
      </c>
      <c r="W152" s="309"/>
      <c r="X152" s="315" t="s">
        <v>49</v>
      </c>
      <c r="Y152" s="316" t="s">
        <v>260</v>
      </c>
      <c r="Z152" s="309" t="s">
        <v>372</v>
      </c>
      <c r="AA152" s="608"/>
      <c r="AB152" s="247"/>
    </row>
    <row r="153" spans="1:30" x14ac:dyDescent="0.25">
      <c r="A153" s="407" t="s">
        <v>216</v>
      </c>
      <c r="B153" s="307" t="s">
        <v>377</v>
      </c>
      <c r="C153" s="308">
        <v>1200</v>
      </c>
      <c r="D153" s="307" t="s">
        <v>72</v>
      </c>
      <c r="E153" s="556"/>
      <c r="F153" s="309">
        <v>80</v>
      </c>
      <c r="G153" s="328">
        <f t="shared" si="85"/>
        <v>0</v>
      </c>
      <c r="H153" s="289">
        <v>0</v>
      </c>
      <c r="I153" s="290">
        <f t="shared" si="81"/>
        <v>0</v>
      </c>
      <c r="J153" s="313">
        <f t="shared" si="86"/>
        <v>0</v>
      </c>
      <c r="K153" s="307"/>
      <c r="L153" s="311">
        <f>IF( $B$3 = 1,  SUM(G146:G153), SUM(H146:H153) )</f>
        <v>0</v>
      </c>
      <c r="M153" s="312">
        <f>SUM(I146:I153)</f>
        <v>0</v>
      </c>
      <c r="N153" s="313">
        <f>SUM(J146:J153)</f>
        <v>0</v>
      </c>
      <c r="O153" s="314" t="str">
        <f t="shared" si="87"/>
        <v>ROUNDUP WEATHERMAX</v>
      </c>
      <c r="P153" s="411">
        <v>45944</v>
      </c>
      <c r="Q153" s="309"/>
      <c r="R153" s="309"/>
      <c r="S153" s="309"/>
      <c r="T153" s="405"/>
      <c r="U153" s="407" t="s">
        <v>440</v>
      </c>
      <c r="V153" s="315" t="s">
        <v>294</v>
      </c>
      <c r="W153" s="309"/>
      <c r="X153" s="315" t="s">
        <v>49</v>
      </c>
      <c r="Y153" s="316" t="s">
        <v>261</v>
      </c>
      <c r="Z153" s="309" t="s">
        <v>372</v>
      </c>
      <c r="AA153" s="608"/>
      <c r="AB153" s="247"/>
    </row>
    <row r="154" spans="1:30" x14ac:dyDescent="0.25">
      <c r="A154" s="407" t="s">
        <v>451</v>
      </c>
      <c r="B154" s="307" t="s">
        <v>450</v>
      </c>
      <c r="C154" s="308">
        <v>20</v>
      </c>
      <c r="D154" s="307" t="s">
        <v>70</v>
      </c>
      <c r="E154" s="407">
        <v>799</v>
      </c>
      <c r="F154" s="309">
        <v>1</v>
      </c>
      <c r="G154" s="328">
        <f t="shared" ref="G154" si="88">IF(B$3 =1, H154*C154, H154/C154)</f>
        <v>0</v>
      </c>
      <c r="H154" s="289">
        <f>+Purchases!C17</f>
        <v>0</v>
      </c>
      <c r="I154" s="290">
        <f t="shared" ref="I154" si="89">IF(B$3 = 1, H154*E154, (H154/C154) *E154)</f>
        <v>0</v>
      </c>
      <c r="J154" s="313">
        <f t="shared" si="86"/>
        <v>0</v>
      </c>
      <c r="K154" s="307"/>
      <c r="L154" s="311">
        <f t="shared" ref="L154" si="90">IF( $B$3 = 1,  G154,H154 )</f>
        <v>0</v>
      </c>
      <c r="M154" s="312">
        <f t="shared" ref="M154" si="91">+I154</f>
        <v>0</v>
      </c>
      <c r="N154" s="313">
        <f t="shared" ref="N154" si="92">+J154</f>
        <v>0</v>
      </c>
      <c r="O154" s="314" t="str">
        <f t="shared" ref="O154" si="93">+A154</f>
        <v>CONVINTRO CORN 12</v>
      </c>
      <c r="P154" s="411">
        <v>46038</v>
      </c>
      <c r="Q154" s="309"/>
      <c r="R154" s="309"/>
      <c r="S154" s="309"/>
      <c r="T154" s="405"/>
      <c r="U154" s="407" t="s">
        <v>426</v>
      </c>
      <c r="V154" s="315" t="s">
        <v>294</v>
      </c>
      <c r="W154" s="309"/>
      <c r="X154" s="315" t="s">
        <v>49</v>
      </c>
      <c r="Y154" s="316" t="s">
        <v>452</v>
      </c>
      <c r="Z154" s="420" t="s">
        <v>453</v>
      </c>
      <c r="AA154" s="321">
        <f t="shared" ref="AA154" si="94">IF(M154 &gt;= 1000, 1, 0)</f>
        <v>0</v>
      </c>
      <c r="AB154" s="247"/>
    </row>
    <row r="155" spans="1:30" x14ac:dyDescent="0.25">
      <c r="A155" s="407" t="s">
        <v>435</v>
      </c>
      <c r="B155" s="307" t="s">
        <v>432</v>
      </c>
      <c r="C155" s="308">
        <v>20</v>
      </c>
      <c r="D155" s="307" t="s">
        <v>70</v>
      </c>
      <c r="E155" s="407">
        <v>239.25</v>
      </c>
      <c r="F155" s="309">
        <v>1</v>
      </c>
      <c r="G155" s="328">
        <f t="shared" ref="G155:G160" si="95">IF(B$3 =1, H155*C155, H155/C155)</f>
        <v>0</v>
      </c>
      <c r="H155" s="289">
        <f>+Purchases!C22</f>
        <v>0</v>
      </c>
      <c r="I155" s="290">
        <f t="shared" ref="I155:I159" si="96">IF(B$3 = 1, H155*E155, (H155/C155) *E155)</f>
        <v>0</v>
      </c>
      <c r="J155" s="313">
        <f t="shared" ref="J155:J160" si="97">IF($B$3 =1, H155*F155, (H155/C155) *F155)</f>
        <v>0</v>
      </c>
      <c r="K155" s="307"/>
      <c r="L155" s="311"/>
      <c r="M155" s="312" t="s">
        <v>126</v>
      </c>
      <c r="N155" s="313" t="s">
        <v>126</v>
      </c>
      <c r="O155" s="314" t="str">
        <f t="shared" ref="O155:O157" si="98">+A155</f>
        <v>HUSKIE® PRE</v>
      </c>
      <c r="P155" s="411">
        <v>45944</v>
      </c>
      <c r="Q155" s="309"/>
      <c r="R155" s="309"/>
      <c r="S155" s="309"/>
      <c r="T155" s="405"/>
      <c r="U155" s="407" t="s">
        <v>426</v>
      </c>
      <c r="V155" s="315" t="s">
        <v>294</v>
      </c>
      <c r="W155" s="309"/>
      <c r="X155" s="315" t="s">
        <v>49</v>
      </c>
      <c r="Y155" s="316" t="s">
        <v>36</v>
      </c>
      <c r="Z155" s="420" t="s">
        <v>275</v>
      </c>
      <c r="AA155" s="608"/>
      <c r="AB155" s="247"/>
    </row>
    <row r="156" spans="1:30" x14ac:dyDescent="0.25">
      <c r="A156" s="407" t="s">
        <v>435</v>
      </c>
      <c r="B156" s="307" t="s">
        <v>433</v>
      </c>
      <c r="C156" s="308">
        <v>320</v>
      </c>
      <c r="D156" s="307" t="s">
        <v>70</v>
      </c>
      <c r="E156" s="556">
        <v>0</v>
      </c>
      <c r="F156" s="309">
        <v>16</v>
      </c>
      <c r="G156" s="328">
        <f t="shared" si="95"/>
        <v>0</v>
      </c>
      <c r="H156" s="615">
        <v>0</v>
      </c>
      <c r="I156" s="290">
        <f t="shared" si="96"/>
        <v>0</v>
      </c>
      <c r="J156" s="313">
        <f t="shared" si="97"/>
        <v>0</v>
      </c>
      <c r="K156" s="307"/>
      <c r="L156" s="311"/>
      <c r="M156" s="312" t="s">
        <v>126</v>
      </c>
      <c r="N156" s="313" t="s">
        <v>126</v>
      </c>
      <c r="O156" s="314" t="str">
        <f t="shared" si="98"/>
        <v>HUSKIE® PRE</v>
      </c>
      <c r="P156" s="411">
        <v>45944</v>
      </c>
      <c r="Q156" s="309"/>
      <c r="R156" s="309"/>
      <c r="S156" s="309"/>
      <c r="T156" s="405"/>
      <c r="U156" s="407" t="s">
        <v>448</v>
      </c>
      <c r="V156" s="315" t="s">
        <v>294</v>
      </c>
      <c r="W156" s="309"/>
      <c r="X156" s="315" t="s">
        <v>49</v>
      </c>
      <c r="Y156" s="316" t="s">
        <v>238</v>
      </c>
      <c r="Z156" s="420" t="s">
        <v>276</v>
      </c>
      <c r="AA156" s="608"/>
      <c r="AB156" s="247"/>
    </row>
    <row r="157" spans="1:30" x14ac:dyDescent="0.25">
      <c r="A157" s="407" t="s">
        <v>435</v>
      </c>
      <c r="B157" s="307" t="s">
        <v>434</v>
      </c>
      <c r="C157" s="445">
        <v>1000</v>
      </c>
      <c r="D157" s="446" t="s">
        <v>70</v>
      </c>
      <c r="E157" s="447">
        <v>11962.5</v>
      </c>
      <c r="F157" s="448">
        <v>50</v>
      </c>
      <c r="G157" s="449">
        <f t="shared" si="95"/>
        <v>0</v>
      </c>
      <c r="H157" s="615">
        <v>0</v>
      </c>
      <c r="I157" s="302">
        <f t="shared" si="96"/>
        <v>0</v>
      </c>
      <c r="J157" s="313">
        <f t="shared" si="97"/>
        <v>0</v>
      </c>
      <c r="K157" s="446"/>
      <c r="L157" s="450">
        <f>IF( $B$3 = 1,  SUM(G155:G157), SUM(H155:H157) )</f>
        <v>0</v>
      </c>
      <c r="M157" s="451">
        <f>SUM(I155:I157)</f>
        <v>0</v>
      </c>
      <c r="N157" s="452">
        <f>SUM(J155:J157)</f>
        <v>0</v>
      </c>
      <c r="O157" s="453" t="str">
        <f t="shared" si="98"/>
        <v>HUSKIE® PRE</v>
      </c>
      <c r="P157" s="411">
        <v>45944</v>
      </c>
      <c r="Q157" s="448"/>
      <c r="R157" s="448"/>
      <c r="S157" s="448"/>
      <c r="T157" s="454"/>
      <c r="U157" s="407" t="s">
        <v>426</v>
      </c>
      <c r="V157" s="455" t="s">
        <v>294</v>
      </c>
      <c r="W157" s="448"/>
      <c r="X157" s="455" t="s">
        <v>49</v>
      </c>
      <c r="Y157" s="456" t="s">
        <v>237</v>
      </c>
      <c r="Z157" s="457" t="s">
        <v>276</v>
      </c>
      <c r="AA157" s="609">
        <f t="shared" ref="AA157:AA160" si="99">IF(M157 &gt;= 1000, 1, 0)</f>
        <v>0</v>
      </c>
      <c r="AB157" s="247"/>
    </row>
    <row r="158" spans="1:30" x14ac:dyDescent="0.25">
      <c r="A158" s="407" t="s">
        <v>102</v>
      </c>
      <c r="B158" s="444" t="s">
        <v>428</v>
      </c>
      <c r="C158" s="458">
        <v>20</v>
      </c>
      <c r="D158" s="459" t="s">
        <v>70</v>
      </c>
      <c r="E158" s="407">
        <v>708.5</v>
      </c>
      <c r="F158" s="460">
        <v>1</v>
      </c>
      <c r="G158" s="461">
        <f t="shared" si="95"/>
        <v>0</v>
      </c>
      <c r="H158" s="289">
        <f>+Purchases!G25</f>
        <v>0</v>
      </c>
      <c r="I158" s="463">
        <f t="shared" si="96"/>
        <v>0</v>
      </c>
      <c r="J158" s="464">
        <f t="shared" si="97"/>
        <v>0</v>
      </c>
      <c r="K158" s="459"/>
      <c r="L158" s="462"/>
      <c r="M158" s="463"/>
      <c r="N158" s="464"/>
      <c r="O158" s="465" t="s">
        <v>102</v>
      </c>
      <c r="P158" s="411">
        <v>45944</v>
      </c>
      <c r="Q158" s="460"/>
      <c r="R158" s="460"/>
      <c r="S158" s="460"/>
      <c r="T158" s="460"/>
      <c r="U158" s="407" t="s">
        <v>426</v>
      </c>
      <c r="V158" s="455" t="s">
        <v>294</v>
      </c>
      <c r="W158" s="460"/>
      <c r="X158" s="455" t="s">
        <v>49</v>
      </c>
      <c r="Y158" s="467" t="s">
        <v>36</v>
      </c>
      <c r="Z158" s="460" t="s">
        <v>275</v>
      </c>
      <c r="AA158" s="608"/>
      <c r="AB158" s="247"/>
    </row>
    <row r="159" spans="1:30" x14ac:dyDescent="0.25">
      <c r="A159" s="407" t="s">
        <v>102</v>
      </c>
      <c r="B159" s="444" t="s">
        <v>429</v>
      </c>
      <c r="C159" s="458">
        <v>320</v>
      </c>
      <c r="D159" s="459" t="s">
        <v>72</v>
      </c>
      <c r="E159" s="556">
        <v>0</v>
      </c>
      <c r="F159" s="460">
        <v>16</v>
      </c>
      <c r="G159" s="461">
        <f t="shared" si="95"/>
        <v>0</v>
      </c>
      <c r="H159" s="289">
        <v>0</v>
      </c>
      <c r="I159" s="463">
        <f t="shared" si="96"/>
        <v>0</v>
      </c>
      <c r="J159" s="464">
        <f t="shared" si="97"/>
        <v>0</v>
      </c>
      <c r="K159" s="459"/>
      <c r="L159" s="462">
        <f>IF( $B$3 = 1,  SUM(G158:G159), SUM(H158:H159) )</f>
        <v>0</v>
      </c>
      <c r="M159" s="463">
        <f>SUM(I158:I159)</f>
        <v>0</v>
      </c>
      <c r="N159" s="464">
        <f>SUM(J158:J159)</f>
        <v>0</v>
      </c>
      <c r="O159" s="465" t="str">
        <f>+A159</f>
        <v>VELOCITY</v>
      </c>
      <c r="P159" s="411">
        <v>45944</v>
      </c>
      <c r="Q159" s="460"/>
      <c r="R159" s="460"/>
      <c r="S159" s="460"/>
      <c r="T159" s="460"/>
      <c r="U159" s="407" t="s">
        <v>448</v>
      </c>
      <c r="V159" s="466" t="s">
        <v>294</v>
      </c>
      <c r="W159" s="460"/>
      <c r="X159" s="466" t="s">
        <v>49</v>
      </c>
      <c r="Y159" s="467" t="s">
        <v>238</v>
      </c>
      <c r="Z159" s="460" t="s">
        <v>276</v>
      </c>
      <c r="AA159" s="609">
        <f t="shared" si="99"/>
        <v>0</v>
      </c>
      <c r="AB159" s="247"/>
    </row>
    <row r="160" spans="1:30" x14ac:dyDescent="0.25">
      <c r="A160" s="447" t="s">
        <v>75</v>
      </c>
      <c r="B160" s="298" t="s">
        <v>444</v>
      </c>
      <c r="C160" s="298">
        <v>1800</v>
      </c>
      <c r="D160" s="298" t="s">
        <v>72</v>
      </c>
      <c r="E160" s="447">
        <v>42105</v>
      </c>
      <c r="F160" s="298">
        <v>60</v>
      </c>
      <c r="G160" s="300">
        <f t="shared" si="95"/>
        <v>0</v>
      </c>
      <c r="H160" s="301">
        <f>+Purchases!C21</f>
        <v>0</v>
      </c>
      <c r="I160" s="302">
        <f>IF(B$3 = 1, H160*E160, (H160/C160) *E160)</f>
        <v>0</v>
      </c>
      <c r="J160" s="303">
        <f t="shared" si="97"/>
        <v>0</v>
      </c>
      <c r="K160" s="298"/>
      <c r="L160" s="301">
        <f>IF($B$3=1,G112 + G144 + G160, H112 + H144+ H160)</f>
        <v>0</v>
      </c>
      <c r="M160" s="302">
        <f>+I112 + I144 + I160</f>
        <v>0</v>
      </c>
      <c r="N160" s="303">
        <f>+J112 + J144 + J160</f>
        <v>0</v>
      </c>
      <c r="O160" s="304" t="str">
        <f t="shared" ref="O160" si="100">+A160</f>
        <v>DELARO</v>
      </c>
      <c r="P160" s="571">
        <v>45944</v>
      </c>
      <c r="Q160" s="572"/>
      <c r="R160" s="572"/>
      <c r="S160" s="572"/>
      <c r="T160" s="573"/>
      <c r="U160" s="447" t="s">
        <v>426</v>
      </c>
      <c r="V160" s="305" t="s">
        <v>294</v>
      </c>
      <c r="W160" s="286"/>
      <c r="X160" s="305" t="s">
        <v>50</v>
      </c>
      <c r="Y160" s="574" t="s">
        <v>443</v>
      </c>
      <c r="Z160" s="286" t="s">
        <v>276</v>
      </c>
      <c r="AA160" s="286">
        <f t="shared" si="99"/>
        <v>0</v>
      </c>
      <c r="AB160" s="611" t="s">
        <v>324</v>
      </c>
      <c r="AC160" s="569">
        <f>SUM(AA108:AA160)</f>
        <v>0</v>
      </c>
      <c r="AD160" s="209" t="s">
        <v>445</v>
      </c>
    </row>
    <row r="161" spans="1:28" x14ac:dyDescent="0.25">
      <c r="A161" s="287"/>
      <c r="B161" s="287"/>
      <c r="C161" s="586"/>
      <c r="D161" s="287"/>
      <c r="E161" s="587"/>
      <c r="F161" s="247"/>
      <c r="G161" s="288"/>
      <c r="H161" s="289"/>
      <c r="I161" s="290"/>
      <c r="J161" s="291"/>
      <c r="K161" s="287"/>
      <c r="L161" s="289"/>
      <c r="M161" s="290"/>
      <c r="N161" s="291"/>
      <c r="O161" s="292"/>
      <c r="P161" s="588"/>
      <c r="Q161" s="247"/>
      <c r="R161" s="247"/>
      <c r="S161" s="247"/>
      <c r="T161" s="247"/>
      <c r="U161" s="247"/>
      <c r="V161" s="293"/>
      <c r="W161" s="247"/>
      <c r="X161" s="293"/>
      <c r="Y161" s="589"/>
      <c r="Z161" s="247"/>
      <c r="AA161" s="247"/>
      <c r="AB161" s="247"/>
    </row>
    <row r="162" spans="1:28" x14ac:dyDescent="0.25">
      <c r="A162" s="287"/>
      <c r="B162" s="287"/>
      <c r="C162" s="586"/>
      <c r="D162" s="287"/>
      <c r="E162" s="587"/>
      <c r="F162" s="247"/>
      <c r="G162" s="288"/>
      <c r="H162" s="289"/>
      <c r="I162" s="290"/>
      <c r="J162" s="291"/>
      <c r="K162" s="287"/>
      <c r="L162" s="289"/>
      <c r="M162" s="290"/>
      <c r="N162" s="291"/>
      <c r="O162" s="292"/>
      <c r="P162" s="588"/>
      <c r="Q162" s="247"/>
      <c r="R162" s="247"/>
      <c r="S162" s="247"/>
      <c r="T162" s="247"/>
      <c r="U162" s="247"/>
      <c r="V162" s="293"/>
      <c r="W162" s="247"/>
      <c r="X162" s="293"/>
      <c r="Y162" s="589"/>
      <c r="Z162" s="247"/>
      <c r="AA162" s="247"/>
      <c r="AB162" s="247"/>
    </row>
    <row r="163" spans="1:28" x14ac:dyDescent="0.25">
      <c r="A163" s="287"/>
      <c r="B163" s="287"/>
      <c r="C163" s="586"/>
      <c r="D163" s="287"/>
      <c r="E163" s="587"/>
      <c r="F163" s="247"/>
      <c r="G163" s="288"/>
      <c r="H163" s="289"/>
      <c r="I163" s="290"/>
      <c r="J163" s="291"/>
      <c r="K163" s="287"/>
      <c r="L163" s="289"/>
      <c r="M163" s="290"/>
      <c r="N163" s="291"/>
      <c r="O163" s="292"/>
      <c r="P163" s="588"/>
      <c r="Q163" s="247"/>
      <c r="R163" s="247"/>
      <c r="S163" s="247"/>
      <c r="T163" s="247"/>
      <c r="U163" s="247"/>
      <c r="V163" s="293"/>
      <c r="W163" s="247"/>
      <c r="X163" s="293"/>
      <c r="Y163" s="589"/>
      <c r="Z163" s="247"/>
      <c r="AA163" s="247"/>
      <c r="AB163" s="247"/>
    </row>
    <row r="164" spans="1:28" x14ac:dyDescent="0.25">
      <c r="A164" s="287"/>
      <c r="B164" s="287"/>
      <c r="C164" s="586"/>
      <c r="D164" s="287"/>
      <c r="E164" s="587"/>
      <c r="F164" s="247"/>
      <c r="G164" s="288"/>
      <c r="H164" s="289"/>
      <c r="I164" s="290"/>
      <c r="J164" s="291"/>
      <c r="K164" s="287"/>
      <c r="L164" s="289"/>
      <c r="M164" s="290"/>
      <c r="N164" s="291"/>
      <c r="O164" s="292"/>
      <c r="P164" s="588"/>
      <c r="Q164" s="247"/>
      <c r="R164" s="247"/>
      <c r="S164" s="247"/>
      <c r="T164" s="247"/>
      <c r="U164" s="247"/>
      <c r="V164" s="293"/>
      <c r="W164" s="247"/>
      <c r="X164" s="293"/>
      <c r="Y164" s="589"/>
      <c r="Z164" s="247"/>
      <c r="AA164" s="247"/>
      <c r="AB164" s="247"/>
    </row>
    <row r="165" spans="1:28" x14ac:dyDescent="0.25">
      <c r="A165" s="287" t="s">
        <v>456</v>
      </c>
      <c r="B165" s="287"/>
      <c r="C165" s="586"/>
      <c r="D165" s="287"/>
      <c r="E165" s="587"/>
      <c r="F165" s="247"/>
      <c r="G165" s="288"/>
      <c r="H165" s="289"/>
      <c r="I165" s="290"/>
      <c r="J165" s="291"/>
      <c r="K165" s="287"/>
      <c r="L165" s="289"/>
      <c r="M165" s="290"/>
      <c r="N165" s="291"/>
      <c r="O165" s="292"/>
      <c r="P165" s="588"/>
      <c r="Q165" s="247"/>
      <c r="R165" s="247"/>
      <c r="S165" s="247"/>
      <c r="T165" s="247"/>
      <c r="U165" s="247"/>
      <c r="V165" s="293"/>
      <c r="W165" s="247"/>
      <c r="X165" s="293"/>
      <c r="Y165" s="589"/>
      <c r="Z165" s="247"/>
      <c r="AA165" s="247"/>
      <c r="AB165" s="247"/>
    </row>
    <row r="166" spans="1:28" x14ac:dyDescent="0.25">
      <c r="A166" s="287"/>
      <c r="B166" s="287"/>
      <c r="C166" s="586"/>
      <c r="D166" s="287"/>
      <c r="E166" s="587"/>
      <c r="F166" s="247"/>
      <c r="G166" s="288"/>
      <c r="H166" s="289"/>
      <c r="I166" s="290"/>
      <c r="J166" s="291"/>
      <c r="K166" s="287"/>
      <c r="L166" s="289"/>
      <c r="M166" s="290"/>
      <c r="N166" s="291"/>
      <c r="O166" s="292"/>
      <c r="P166" s="588"/>
      <c r="Q166" s="247"/>
      <c r="R166" s="247"/>
      <c r="S166" s="247"/>
      <c r="T166" s="247"/>
      <c r="U166" s="247"/>
      <c r="V166" s="293"/>
      <c r="W166" s="247"/>
      <c r="X166" s="293"/>
      <c r="Y166" s="589"/>
      <c r="Z166" s="247"/>
      <c r="AA166" s="247"/>
      <c r="AB166" s="247"/>
    </row>
    <row r="167" spans="1:28" x14ac:dyDescent="0.25">
      <c r="A167" s="287"/>
      <c r="B167" s="287"/>
      <c r="C167" s="586"/>
      <c r="D167" s="287"/>
      <c r="E167" s="587"/>
      <c r="F167" s="247"/>
      <c r="G167" s="288"/>
      <c r="H167" s="289"/>
      <c r="I167" s="290"/>
      <c r="J167" s="291"/>
      <c r="K167" s="287"/>
      <c r="L167" s="289"/>
      <c r="M167" s="290"/>
      <c r="N167" s="291"/>
      <c r="O167" s="292"/>
      <c r="P167" s="588"/>
      <c r="Q167" s="247"/>
      <c r="R167" s="247"/>
      <c r="S167" s="247"/>
      <c r="T167" s="247"/>
      <c r="U167" s="247"/>
      <c r="V167" s="293"/>
      <c r="W167" s="247"/>
      <c r="X167" s="293"/>
      <c r="Y167" s="589"/>
      <c r="Z167" s="247"/>
      <c r="AA167" s="247"/>
      <c r="AB167" s="247"/>
    </row>
    <row r="168" spans="1:28" x14ac:dyDescent="0.25">
      <c r="A168" s="287"/>
      <c r="B168" s="287"/>
      <c r="C168" s="586"/>
      <c r="D168" s="287"/>
      <c r="E168" s="587"/>
      <c r="F168" s="247"/>
      <c r="G168" s="288"/>
      <c r="H168" s="289"/>
      <c r="I168" s="290"/>
      <c r="J168" s="291"/>
      <c r="K168" s="287"/>
      <c r="L168" s="289"/>
      <c r="M168" s="290"/>
      <c r="N168" s="291"/>
      <c r="O168" s="292"/>
      <c r="P168" s="588"/>
      <c r="Q168" s="247"/>
      <c r="R168" s="247"/>
      <c r="S168" s="247"/>
      <c r="T168" s="247"/>
      <c r="U168" s="247"/>
      <c r="V168" s="293"/>
      <c r="W168" s="247"/>
      <c r="X168" s="293"/>
      <c r="Y168" s="589"/>
      <c r="Z168" s="247"/>
      <c r="AA168" s="247"/>
      <c r="AB168" s="247"/>
    </row>
    <row r="169" spans="1:28" x14ac:dyDescent="0.25">
      <c r="A169" s="287"/>
      <c r="B169" s="287"/>
      <c r="C169" s="586"/>
      <c r="D169" s="287"/>
      <c r="E169" s="587"/>
      <c r="F169" s="247"/>
      <c r="G169" s="288"/>
      <c r="H169" s="289"/>
      <c r="I169" s="290"/>
      <c r="J169" s="291"/>
      <c r="K169" s="287"/>
      <c r="L169" s="289"/>
      <c r="M169" s="290"/>
      <c r="N169" s="291"/>
      <c r="O169" s="292"/>
      <c r="P169" s="588"/>
      <c r="Q169" s="247"/>
      <c r="R169" s="247"/>
      <c r="S169" s="247"/>
      <c r="T169" s="247"/>
      <c r="U169" s="247"/>
      <c r="V169" s="293"/>
      <c r="W169" s="247"/>
      <c r="X169" s="293"/>
      <c r="Y169" s="589"/>
      <c r="Z169" s="247"/>
      <c r="AA169" s="247"/>
      <c r="AB169" s="247"/>
    </row>
    <row r="170" spans="1:28" x14ac:dyDescent="0.25">
      <c r="A170" s="287"/>
      <c r="B170" s="287"/>
      <c r="C170" s="586"/>
      <c r="D170" s="287"/>
      <c r="E170" s="587"/>
      <c r="F170" s="247"/>
      <c r="G170" s="288"/>
      <c r="H170" s="289"/>
      <c r="I170" s="290"/>
      <c r="J170" s="291"/>
      <c r="K170" s="287"/>
      <c r="L170" s="289"/>
      <c r="M170" s="290"/>
      <c r="N170" s="291"/>
      <c r="O170" s="292"/>
      <c r="P170" s="588"/>
      <c r="Q170" s="247"/>
      <c r="R170" s="247"/>
      <c r="S170" s="247"/>
      <c r="T170" s="247"/>
      <c r="U170" s="247"/>
      <c r="V170" s="293"/>
      <c r="W170" s="247"/>
      <c r="X170" s="293"/>
      <c r="Y170" s="589"/>
      <c r="Z170" s="247"/>
      <c r="AA170" s="247"/>
      <c r="AB170" s="247"/>
    </row>
    <row r="171" spans="1:28" x14ac:dyDescent="0.25">
      <c r="A171" s="287"/>
      <c r="B171" s="287"/>
      <c r="C171" s="586"/>
      <c r="D171" s="287"/>
      <c r="E171" s="587"/>
      <c r="F171" s="247"/>
      <c r="G171" s="288"/>
      <c r="H171" s="289"/>
      <c r="I171" s="290"/>
      <c r="J171" s="291"/>
      <c r="K171" s="287"/>
      <c r="L171" s="289"/>
      <c r="M171" s="290"/>
      <c r="N171" s="291"/>
      <c r="O171" s="292"/>
      <c r="P171" s="588"/>
      <c r="Q171" s="247"/>
      <c r="R171" s="247"/>
      <c r="S171" s="247"/>
      <c r="T171" s="247"/>
      <c r="U171" s="247"/>
      <c r="V171" s="293"/>
      <c r="W171" s="247"/>
      <c r="X171" s="293"/>
      <c r="Y171" s="589"/>
      <c r="Z171" s="247"/>
      <c r="AA171" s="247"/>
      <c r="AB171" s="247"/>
    </row>
    <row r="172" spans="1:28" x14ac:dyDescent="0.25">
      <c r="A172" s="287"/>
      <c r="B172" s="287"/>
      <c r="C172" s="586"/>
      <c r="D172" s="287"/>
      <c r="E172" s="587"/>
      <c r="F172" s="247"/>
      <c r="G172" s="288"/>
      <c r="H172" s="289"/>
      <c r="I172" s="290"/>
      <c r="J172" s="291"/>
      <c r="K172" s="287"/>
      <c r="L172" s="289"/>
      <c r="M172" s="290"/>
      <c r="N172" s="291"/>
      <c r="O172" s="292"/>
      <c r="P172" s="588"/>
      <c r="Q172" s="247"/>
      <c r="R172" s="247"/>
      <c r="S172" s="247"/>
      <c r="T172" s="247"/>
      <c r="U172" s="247"/>
      <c r="V172" s="293"/>
      <c r="W172" s="247"/>
      <c r="X172" s="293"/>
      <c r="Y172" s="589"/>
      <c r="Z172" s="247"/>
      <c r="AA172" s="247"/>
      <c r="AB172" s="247"/>
    </row>
    <row r="173" spans="1:28" x14ac:dyDescent="0.25">
      <c r="A173" s="287"/>
      <c r="B173" s="287"/>
      <c r="C173" s="586"/>
      <c r="D173" s="287"/>
      <c r="E173" s="587"/>
      <c r="F173" s="247"/>
      <c r="G173" s="288"/>
      <c r="H173" s="289"/>
      <c r="I173" s="290"/>
      <c r="J173" s="291"/>
      <c r="K173" s="287"/>
      <c r="L173" s="289"/>
      <c r="M173" s="290"/>
      <c r="N173" s="291"/>
      <c r="O173" s="292"/>
      <c r="P173" s="588"/>
      <c r="Q173" s="247"/>
      <c r="R173" s="247"/>
      <c r="S173" s="247"/>
      <c r="T173" s="247"/>
      <c r="U173" s="247"/>
      <c r="V173" s="293"/>
      <c r="W173" s="247"/>
      <c r="X173" s="293"/>
      <c r="Y173" s="589"/>
      <c r="Z173" s="247"/>
      <c r="AA173" s="247"/>
      <c r="AB173" s="247"/>
    </row>
    <row r="174" spans="1:28" x14ac:dyDescent="0.25">
      <c r="A174" s="287"/>
      <c r="B174" s="287"/>
      <c r="C174" s="586"/>
      <c r="D174" s="287"/>
      <c r="E174" s="587"/>
      <c r="F174" s="247"/>
      <c r="G174" s="288"/>
      <c r="H174" s="289"/>
      <c r="I174" s="290"/>
      <c r="J174" s="291"/>
      <c r="K174" s="287"/>
      <c r="L174" s="289"/>
      <c r="M174" s="290"/>
      <c r="N174" s="291"/>
      <c r="O174" s="292"/>
      <c r="P174" s="588"/>
      <c r="Q174" s="247"/>
      <c r="R174" s="247"/>
      <c r="S174" s="247"/>
      <c r="T174" s="247"/>
      <c r="U174" s="247"/>
      <c r="V174" s="293"/>
      <c r="W174" s="247"/>
      <c r="X174" s="293"/>
      <c r="Y174" s="589"/>
      <c r="Z174" s="247"/>
      <c r="AA174" s="247"/>
      <c r="AB174" s="247"/>
    </row>
    <row r="175" spans="1:28" x14ac:dyDescent="0.25">
      <c r="A175" s="287"/>
      <c r="B175" s="287"/>
      <c r="C175" s="586"/>
      <c r="D175" s="287"/>
      <c r="E175" s="587"/>
      <c r="F175" s="247"/>
      <c r="G175" s="288"/>
      <c r="H175" s="289"/>
      <c r="I175" s="290"/>
      <c r="J175" s="291"/>
      <c r="K175" s="287"/>
      <c r="L175" s="289"/>
      <c r="M175" s="290"/>
      <c r="N175" s="291"/>
      <c r="O175" s="292"/>
      <c r="P175" s="588"/>
      <c r="Q175" s="247"/>
      <c r="R175" s="247"/>
      <c r="S175" s="247"/>
      <c r="T175" s="247"/>
      <c r="U175" s="247"/>
      <c r="V175" s="293"/>
      <c r="W175" s="247"/>
      <c r="X175" s="293"/>
      <c r="Y175" s="589"/>
      <c r="Z175" s="247"/>
      <c r="AA175" s="247"/>
      <c r="AB175" s="247"/>
    </row>
    <row r="176" spans="1:28" x14ac:dyDescent="0.25">
      <c r="A176" s="287"/>
      <c r="B176" s="287"/>
      <c r="C176" s="586"/>
      <c r="D176" s="287"/>
      <c r="E176" s="587"/>
      <c r="F176" s="247"/>
      <c r="G176" s="288"/>
      <c r="H176" s="289"/>
      <c r="I176" s="290"/>
      <c r="J176" s="291"/>
      <c r="K176" s="287"/>
      <c r="L176" s="289"/>
      <c r="M176" s="290"/>
      <c r="N176" s="291"/>
      <c r="O176" s="292"/>
      <c r="P176" s="588"/>
      <c r="Q176" s="247"/>
      <c r="R176" s="247"/>
      <c r="S176" s="247"/>
      <c r="T176" s="247"/>
      <c r="U176" s="247"/>
      <c r="V176" s="293"/>
      <c r="W176" s="247"/>
      <c r="X176" s="293"/>
      <c r="Y176" s="589"/>
      <c r="Z176" s="247"/>
      <c r="AA176" s="247"/>
      <c r="AB176" s="247"/>
    </row>
    <row r="177" spans="1:28" x14ac:dyDescent="0.25">
      <c r="A177" s="287"/>
      <c r="B177" s="287"/>
      <c r="C177" s="586"/>
      <c r="D177" s="287"/>
      <c r="E177" s="587"/>
      <c r="F177" s="247"/>
      <c r="G177" s="288"/>
      <c r="H177" s="289"/>
      <c r="I177" s="290"/>
      <c r="J177" s="291"/>
      <c r="K177" s="287"/>
      <c r="L177" s="289"/>
      <c r="M177" s="290"/>
      <c r="N177" s="291"/>
      <c r="O177" s="292"/>
      <c r="P177" s="588"/>
      <c r="Q177" s="247"/>
      <c r="R177" s="247"/>
      <c r="S177" s="247"/>
      <c r="T177" s="247"/>
      <c r="U177" s="247"/>
      <c r="V177" s="293"/>
      <c r="W177" s="247"/>
      <c r="X177" s="293"/>
      <c r="Y177" s="589"/>
      <c r="Z177" s="247"/>
      <c r="AA177" s="247"/>
      <c r="AB177" s="247"/>
    </row>
    <row r="178" spans="1:28" x14ac:dyDescent="0.25">
      <c r="A178" s="287"/>
      <c r="B178" s="287"/>
      <c r="C178" s="586"/>
      <c r="D178" s="287"/>
      <c r="E178" s="587"/>
      <c r="F178" s="247"/>
      <c r="G178" s="288"/>
      <c r="H178" s="289"/>
      <c r="I178" s="290"/>
      <c r="J178" s="291"/>
      <c r="K178" s="287"/>
      <c r="L178" s="289"/>
      <c r="M178" s="290"/>
      <c r="N178" s="291"/>
      <c r="O178" s="292"/>
      <c r="P178" s="588"/>
      <c r="Q178" s="247"/>
      <c r="R178" s="247"/>
      <c r="S178" s="247"/>
      <c r="T178" s="247"/>
      <c r="U178" s="247"/>
      <c r="V178" s="293"/>
      <c r="W178" s="247"/>
      <c r="X178" s="293"/>
      <c r="Y178" s="589"/>
      <c r="Z178" s="247"/>
      <c r="AA178" s="247"/>
      <c r="AB178" s="247"/>
    </row>
    <row r="179" spans="1:28" x14ac:dyDescent="0.25">
      <c r="A179" s="287"/>
      <c r="B179" s="287"/>
      <c r="C179" s="586"/>
      <c r="D179" s="287"/>
      <c r="E179" s="587"/>
      <c r="F179" s="247"/>
      <c r="G179" s="288"/>
      <c r="H179" s="289"/>
      <c r="I179" s="290"/>
      <c r="J179" s="291"/>
      <c r="K179" s="287"/>
      <c r="L179" s="289"/>
      <c r="M179" s="290"/>
      <c r="N179" s="291"/>
      <c r="O179" s="292"/>
      <c r="P179" s="588"/>
      <c r="Q179" s="247"/>
      <c r="R179" s="247"/>
      <c r="S179" s="247"/>
      <c r="T179" s="247"/>
      <c r="U179" s="247"/>
      <c r="V179" s="293"/>
      <c r="W179" s="247"/>
      <c r="X179" s="293"/>
      <c r="Y179" s="589"/>
      <c r="Z179" s="247"/>
      <c r="AA179" s="247"/>
      <c r="AB179" s="247"/>
    </row>
    <row r="180" spans="1:28" x14ac:dyDescent="0.25">
      <c r="A180" s="287"/>
      <c r="B180" s="287"/>
      <c r="C180" s="586"/>
      <c r="D180" s="287"/>
      <c r="E180" s="587"/>
      <c r="F180" s="247"/>
      <c r="G180" s="288"/>
      <c r="H180" s="289"/>
      <c r="I180" s="290"/>
      <c r="J180" s="291"/>
      <c r="K180" s="287"/>
      <c r="L180" s="289"/>
      <c r="M180" s="290"/>
      <c r="N180" s="291"/>
      <c r="O180" s="292"/>
      <c r="P180" s="588"/>
      <c r="Q180" s="247"/>
      <c r="R180" s="247"/>
      <c r="S180" s="247"/>
      <c r="T180" s="247"/>
      <c r="U180" s="247"/>
      <c r="V180" s="293"/>
      <c r="W180" s="247"/>
      <c r="X180" s="293"/>
      <c r="Y180" s="589"/>
      <c r="Z180" s="247"/>
      <c r="AA180" s="247"/>
      <c r="AB180" s="247"/>
    </row>
    <row r="181" spans="1:28" x14ac:dyDescent="0.25">
      <c r="A181" s="287"/>
      <c r="B181" s="287"/>
      <c r="C181" s="586"/>
      <c r="D181" s="287"/>
      <c r="E181" s="587"/>
      <c r="F181" s="247"/>
      <c r="G181" s="288"/>
      <c r="H181" s="289"/>
      <c r="I181" s="290"/>
      <c r="J181" s="291"/>
      <c r="K181" s="287"/>
      <c r="L181" s="289"/>
      <c r="M181" s="290"/>
      <c r="N181" s="291"/>
      <c r="O181" s="292"/>
      <c r="P181" s="588"/>
      <c r="Q181" s="247"/>
      <c r="R181" s="247"/>
      <c r="S181" s="247"/>
      <c r="T181" s="247"/>
      <c r="U181" s="247"/>
      <c r="V181" s="293"/>
      <c r="W181" s="247"/>
      <c r="X181" s="293"/>
      <c r="Y181" s="589"/>
      <c r="Z181" s="247"/>
      <c r="AA181" s="247"/>
      <c r="AB181" s="247"/>
    </row>
    <row r="182" spans="1:28" x14ac:dyDescent="0.25">
      <c r="A182" s="287"/>
      <c r="B182" s="287"/>
      <c r="C182" s="586"/>
      <c r="D182" s="287"/>
      <c r="E182" s="587"/>
      <c r="F182" s="247"/>
      <c r="G182" s="288"/>
      <c r="H182" s="289"/>
      <c r="I182" s="290"/>
      <c r="J182" s="291"/>
      <c r="K182" s="287"/>
      <c r="L182" s="289"/>
      <c r="M182" s="290"/>
      <c r="N182" s="291"/>
      <c r="O182" s="292"/>
      <c r="P182" s="588"/>
      <c r="Q182" s="247"/>
      <c r="R182" s="247"/>
      <c r="S182" s="247"/>
      <c r="T182" s="247"/>
      <c r="U182" s="247"/>
      <c r="V182" s="293"/>
      <c r="W182" s="247"/>
      <c r="X182" s="293"/>
      <c r="Y182" s="589"/>
      <c r="Z182" s="247"/>
      <c r="AA182" s="247"/>
      <c r="AB182" s="247"/>
    </row>
    <row r="183" spans="1:28" x14ac:dyDescent="0.25">
      <c r="A183" s="287"/>
      <c r="B183" s="287"/>
      <c r="C183" s="586"/>
      <c r="D183" s="287"/>
      <c r="E183" s="587"/>
      <c r="F183" s="247"/>
      <c r="G183" s="288"/>
      <c r="H183" s="289"/>
      <c r="I183" s="290"/>
      <c r="J183" s="291"/>
      <c r="K183" s="287"/>
      <c r="L183" s="289"/>
      <c r="M183" s="290"/>
      <c r="N183" s="291"/>
      <c r="O183" s="292"/>
      <c r="P183" s="588"/>
      <c r="Q183" s="247"/>
      <c r="R183" s="247"/>
      <c r="S183" s="247"/>
      <c r="T183" s="247"/>
      <c r="U183" s="247"/>
      <c r="V183" s="293"/>
      <c r="W183" s="247"/>
      <c r="X183" s="293"/>
      <c r="Y183" s="589"/>
      <c r="Z183" s="247"/>
      <c r="AA183" s="247"/>
      <c r="AB183" s="247"/>
    </row>
    <row r="184" spans="1:28" x14ac:dyDescent="0.25">
      <c r="A184" s="287"/>
      <c r="B184" s="287"/>
      <c r="C184" s="586"/>
      <c r="D184" s="287"/>
      <c r="E184" s="587"/>
      <c r="F184" s="247"/>
      <c r="G184" s="288"/>
      <c r="H184" s="289"/>
      <c r="I184" s="290"/>
      <c r="J184" s="291"/>
      <c r="K184" s="287"/>
      <c r="L184" s="289"/>
      <c r="M184" s="290"/>
      <c r="N184" s="291"/>
      <c r="O184" s="292"/>
      <c r="P184" s="588"/>
      <c r="Q184" s="247"/>
      <c r="R184" s="247"/>
      <c r="S184" s="247"/>
      <c r="T184" s="247"/>
      <c r="U184" s="247"/>
      <c r="V184" s="293"/>
      <c r="W184" s="247"/>
      <c r="X184" s="293"/>
      <c r="Y184" s="589"/>
      <c r="Z184" s="247"/>
      <c r="AA184" s="247"/>
      <c r="AB184" s="247"/>
    </row>
    <row r="185" spans="1:28" x14ac:dyDescent="0.25">
      <c r="A185" s="287"/>
      <c r="B185" s="287"/>
      <c r="C185" s="586"/>
      <c r="D185" s="287"/>
      <c r="E185" s="587"/>
      <c r="F185" s="247"/>
      <c r="G185" s="288"/>
      <c r="H185" s="289"/>
      <c r="I185" s="290"/>
      <c r="J185" s="291"/>
      <c r="K185" s="287"/>
      <c r="L185" s="289"/>
      <c r="M185" s="290"/>
      <c r="N185" s="291"/>
      <c r="O185" s="292"/>
      <c r="P185" s="588"/>
      <c r="Q185" s="247"/>
      <c r="R185" s="247"/>
      <c r="S185" s="247"/>
      <c r="T185" s="247"/>
      <c r="U185" s="247"/>
      <c r="V185" s="293"/>
      <c r="W185" s="247"/>
      <c r="X185" s="293"/>
      <c r="Y185" s="589"/>
      <c r="Z185" s="247"/>
      <c r="AA185" s="247"/>
      <c r="AB185" s="247"/>
    </row>
    <row r="186" spans="1:28" x14ac:dyDescent="0.25">
      <c r="A186" s="287"/>
      <c r="B186" s="287"/>
      <c r="C186" s="586"/>
      <c r="D186" s="287"/>
      <c r="E186" s="587"/>
      <c r="F186" s="247"/>
      <c r="G186" s="288"/>
      <c r="H186" s="289"/>
      <c r="I186" s="290"/>
      <c r="J186" s="291"/>
      <c r="K186" s="287"/>
      <c r="L186" s="289"/>
      <c r="M186" s="290"/>
      <c r="N186" s="291"/>
      <c r="O186" s="292"/>
      <c r="P186" s="588"/>
      <c r="Q186" s="247"/>
      <c r="R186" s="247"/>
      <c r="S186" s="247"/>
      <c r="T186" s="247"/>
      <c r="U186" s="247"/>
      <c r="V186" s="293"/>
      <c r="W186" s="247"/>
      <c r="X186" s="293"/>
      <c r="Y186" s="589"/>
      <c r="Z186" s="247"/>
      <c r="AA186" s="247"/>
      <c r="AB186" s="247"/>
    </row>
    <row r="187" spans="1:28" x14ac:dyDescent="0.25">
      <c r="A187" s="287"/>
      <c r="B187" s="287"/>
      <c r="C187" s="586"/>
      <c r="D187" s="287"/>
      <c r="E187" s="587"/>
      <c r="F187" s="247"/>
      <c r="G187" s="288"/>
      <c r="H187" s="289"/>
      <c r="I187" s="290"/>
      <c r="J187" s="291"/>
      <c r="K187" s="287"/>
      <c r="L187" s="289"/>
      <c r="M187" s="290"/>
      <c r="N187" s="291"/>
      <c r="O187" s="292"/>
      <c r="P187" s="588"/>
      <c r="Q187" s="247"/>
      <c r="R187" s="247"/>
      <c r="S187" s="247"/>
      <c r="T187" s="247"/>
      <c r="U187" s="247"/>
      <c r="V187" s="293"/>
      <c r="W187" s="247"/>
      <c r="X187" s="293"/>
      <c r="Y187" s="589"/>
      <c r="Z187" s="247"/>
      <c r="AA187" s="247"/>
      <c r="AB187" s="247"/>
    </row>
    <row r="188" spans="1:28" x14ac:dyDescent="0.25">
      <c r="A188" s="287"/>
      <c r="B188" s="287"/>
      <c r="C188" s="586"/>
      <c r="D188" s="287"/>
      <c r="E188" s="587"/>
      <c r="F188" s="247"/>
      <c r="G188" s="288"/>
      <c r="H188" s="289"/>
      <c r="I188" s="290"/>
      <c r="J188" s="291"/>
      <c r="K188" s="287"/>
      <c r="L188" s="289"/>
      <c r="M188" s="290"/>
      <c r="N188" s="291"/>
      <c r="O188" s="292"/>
      <c r="P188" s="588"/>
      <c r="Q188" s="247"/>
      <c r="R188" s="247"/>
      <c r="S188" s="247"/>
      <c r="T188" s="247"/>
      <c r="U188" s="247"/>
      <c r="V188" s="293"/>
      <c r="W188" s="247"/>
      <c r="X188" s="293"/>
      <c r="Y188" s="589"/>
      <c r="Z188" s="247"/>
      <c r="AA188" s="247"/>
      <c r="AB188" s="247"/>
    </row>
    <row r="189" spans="1:28" x14ac:dyDescent="0.25">
      <c r="A189" s="287"/>
      <c r="B189" s="287"/>
      <c r="C189" s="586"/>
      <c r="D189" s="287"/>
      <c r="E189" s="587"/>
      <c r="F189" s="247"/>
      <c r="G189" s="288"/>
      <c r="H189" s="289"/>
      <c r="I189" s="290"/>
      <c r="J189" s="291"/>
      <c r="K189" s="287"/>
      <c r="L189" s="289"/>
      <c r="M189" s="290"/>
      <c r="N189" s="291"/>
      <c r="O189" s="292"/>
      <c r="P189" s="588"/>
      <c r="Q189" s="247"/>
      <c r="R189" s="247"/>
      <c r="S189" s="247"/>
      <c r="T189" s="247"/>
      <c r="U189" s="247"/>
      <c r="V189" s="293"/>
      <c r="W189" s="247"/>
      <c r="X189" s="293"/>
      <c r="Y189" s="589"/>
      <c r="Z189" s="247"/>
      <c r="AA189" s="247"/>
      <c r="AB189" s="247"/>
    </row>
    <row r="190" spans="1:28" x14ac:dyDescent="0.25">
      <c r="A190" s="287"/>
      <c r="B190" s="287"/>
      <c r="C190" s="586"/>
      <c r="D190" s="287"/>
      <c r="E190" s="587"/>
      <c r="F190" s="247"/>
      <c r="G190" s="288"/>
      <c r="H190" s="289"/>
      <c r="I190" s="290"/>
      <c r="J190" s="291"/>
      <c r="K190" s="287"/>
      <c r="L190" s="289"/>
      <c r="M190" s="290"/>
      <c r="N190" s="291"/>
      <c r="O190" s="292"/>
      <c r="P190" s="588"/>
      <c r="Q190" s="247"/>
      <c r="R190" s="247"/>
      <c r="S190" s="247"/>
      <c r="T190" s="247"/>
      <c r="U190" s="247"/>
      <c r="V190" s="293"/>
      <c r="W190" s="247"/>
      <c r="X190" s="293"/>
      <c r="Y190" s="589"/>
      <c r="Z190" s="247"/>
      <c r="AA190" s="247"/>
      <c r="AB190" s="247"/>
    </row>
    <row r="191" spans="1:28" x14ac:dyDescent="0.25">
      <c r="A191" s="287"/>
      <c r="B191" s="287"/>
      <c r="C191" s="586"/>
      <c r="D191" s="287"/>
      <c r="E191" s="587"/>
      <c r="F191" s="247"/>
      <c r="G191" s="288"/>
      <c r="H191" s="289"/>
      <c r="I191" s="290"/>
      <c r="J191" s="291"/>
      <c r="K191" s="287"/>
      <c r="L191" s="289"/>
      <c r="M191" s="290"/>
      <c r="N191" s="291"/>
      <c r="O191" s="292"/>
      <c r="P191" s="588"/>
      <c r="Q191" s="247"/>
      <c r="R191" s="247"/>
      <c r="S191" s="247"/>
      <c r="T191" s="247"/>
      <c r="U191" s="247"/>
      <c r="V191" s="293"/>
      <c r="W191" s="247"/>
      <c r="X191" s="293"/>
      <c r="Y191" s="589"/>
      <c r="Z191" s="247"/>
      <c r="AA191" s="247"/>
      <c r="AB191" s="247"/>
    </row>
    <row r="192" spans="1:28" x14ac:dyDescent="0.25">
      <c r="A192" s="287"/>
      <c r="B192" s="287"/>
      <c r="C192" s="586"/>
      <c r="D192" s="287"/>
      <c r="E192" s="587"/>
      <c r="F192" s="247"/>
      <c r="G192" s="288"/>
      <c r="H192" s="289"/>
      <c r="I192" s="290"/>
      <c r="J192" s="291"/>
      <c r="K192" s="287"/>
      <c r="L192" s="289"/>
      <c r="M192" s="290"/>
      <c r="N192" s="291"/>
      <c r="O192" s="292"/>
      <c r="P192" s="588"/>
      <c r="Q192" s="247"/>
      <c r="R192" s="247"/>
      <c r="S192" s="247"/>
      <c r="T192" s="247"/>
      <c r="U192" s="247"/>
      <c r="V192" s="293"/>
      <c r="W192" s="247"/>
      <c r="X192" s="293"/>
      <c r="Y192" s="589"/>
      <c r="Z192" s="247"/>
      <c r="AA192" s="247"/>
      <c r="AB192" s="247"/>
    </row>
    <row r="193" spans="1:28" x14ac:dyDescent="0.25">
      <c r="A193" s="287"/>
      <c r="B193" s="287"/>
      <c r="C193" s="586"/>
      <c r="D193" s="287"/>
      <c r="E193" s="587"/>
      <c r="F193" s="247"/>
      <c r="G193" s="288"/>
      <c r="H193" s="289"/>
      <c r="I193" s="290"/>
      <c r="J193" s="291"/>
      <c r="K193" s="287"/>
      <c r="L193" s="289"/>
      <c r="M193" s="290"/>
      <c r="N193" s="291"/>
      <c r="O193" s="292"/>
      <c r="P193" s="588"/>
      <c r="Q193" s="247"/>
      <c r="R193" s="247"/>
      <c r="S193" s="247"/>
      <c r="T193" s="247"/>
      <c r="U193" s="247"/>
      <c r="V193" s="293"/>
      <c r="W193" s="247"/>
      <c r="X193" s="293"/>
      <c r="Y193" s="589"/>
      <c r="Z193" s="247"/>
      <c r="AA193" s="247"/>
      <c r="AB193" s="247"/>
    </row>
    <row r="194" spans="1:28" x14ac:dyDescent="0.25">
      <c r="A194" s="287"/>
      <c r="B194" s="287"/>
      <c r="C194" s="586"/>
      <c r="D194" s="287"/>
      <c r="E194" s="587"/>
      <c r="F194" s="247"/>
      <c r="G194" s="288"/>
      <c r="H194" s="289"/>
      <c r="I194" s="290"/>
      <c r="J194" s="291"/>
      <c r="K194" s="287"/>
      <c r="L194" s="289"/>
      <c r="M194" s="290"/>
      <c r="N194" s="291"/>
      <c r="O194" s="292"/>
      <c r="P194" s="588"/>
      <c r="Q194" s="247"/>
      <c r="R194" s="247"/>
      <c r="S194" s="247"/>
      <c r="T194" s="247"/>
      <c r="U194" s="247"/>
      <c r="V194" s="293"/>
      <c r="W194" s="247"/>
      <c r="X194" s="293"/>
      <c r="Y194" s="589"/>
      <c r="Z194" s="247"/>
      <c r="AA194" s="247"/>
      <c r="AB194" s="247"/>
    </row>
    <row r="195" spans="1:28" x14ac:dyDescent="0.25">
      <c r="A195" s="287"/>
      <c r="B195" s="287"/>
      <c r="C195" s="586"/>
      <c r="D195" s="287"/>
      <c r="E195" s="587"/>
      <c r="F195" s="247"/>
      <c r="G195" s="288"/>
      <c r="H195" s="289"/>
      <c r="I195" s="290"/>
      <c r="J195" s="291"/>
      <c r="K195" s="287"/>
      <c r="L195" s="289"/>
      <c r="M195" s="290"/>
      <c r="N195" s="291"/>
      <c r="O195" s="292"/>
      <c r="P195" s="588"/>
      <c r="Q195" s="247"/>
      <c r="R195" s="247"/>
      <c r="S195" s="247"/>
      <c r="T195" s="247"/>
      <c r="U195" s="247"/>
      <c r="V195" s="293"/>
      <c r="W195" s="247"/>
      <c r="X195" s="293"/>
      <c r="Y195" s="589"/>
      <c r="Z195" s="247"/>
      <c r="AA195" s="247"/>
      <c r="AB195" s="247"/>
    </row>
    <row r="196" spans="1:28" x14ac:dyDescent="0.25">
      <c r="A196" s="287"/>
      <c r="B196" s="287"/>
      <c r="C196" s="586"/>
      <c r="D196" s="287"/>
      <c r="E196" s="587"/>
      <c r="F196" s="247"/>
      <c r="G196" s="288"/>
      <c r="H196" s="289"/>
      <c r="I196" s="290"/>
      <c r="J196" s="291"/>
      <c r="K196" s="287"/>
      <c r="L196" s="289"/>
      <c r="M196" s="290"/>
      <c r="N196" s="291"/>
      <c r="O196" s="292"/>
      <c r="P196" s="588"/>
      <c r="Q196" s="247"/>
      <c r="R196" s="247"/>
      <c r="S196" s="247"/>
      <c r="T196" s="247"/>
      <c r="U196" s="247"/>
      <c r="V196" s="293"/>
      <c r="W196" s="247"/>
      <c r="X196" s="293"/>
      <c r="Y196" s="589"/>
      <c r="Z196" s="247"/>
      <c r="AA196" s="247"/>
      <c r="AB196" s="247"/>
    </row>
    <row r="197" spans="1:28" x14ac:dyDescent="0.25">
      <c r="A197" s="287"/>
      <c r="B197" s="287"/>
      <c r="C197" s="586"/>
      <c r="D197" s="287"/>
      <c r="E197" s="587"/>
      <c r="F197" s="247"/>
      <c r="G197" s="288"/>
      <c r="H197" s="289"/>
      <c r="I197" s="290"/>
      <c r="J197" s="291"/>
      <c r="K197" s="287"/>
      <c r="L197" s="289"/>
      <c r="M197" s="290"/>
      <c r="N197" s="291"/>
      <c r="O197" s="292"/>
      <c r="P197" s="588"/>
      <c r="Q197" s="247"/>
      <c r="R197" s="247"/>
      <c r="S197" s="247"/>
      <c r="T197" s="247"/>
      <c r="U197" s="247"/>
      <c r="V197" s="293"/>
      <c r="W197" s="247"/>
      <c r="X197" s="293"/>
      <c r="Y197" s="589"/>
      <c r="Z197" s="247"/>
      <c r="AA197" s="247"/>
      <c r="AB197" s="247"/>
    </row>
    <row r="198" spans="1:28" x14ac:dyDescent="0.25">
      <c r="A198" s="287"/>
      <c r="B198" s="287"/>
      <c r="C198" s="586"/>
      <c r="D198" s="287"/>
      <c r="E198" s="587"/>
      <c r="F198" s="247"/>
      <c r="G198" s="288"/>
      <c r="H198" s="289"/>
      <c r="I198" s="290"/>
      <c r="J198" s="291"/>
      <c r="K198" s="287"/>
      <c r="L198" s="289"/>
      <c r="M198" s="290"/>
      <c r="N198" s="291"/>
      <c r="O198" s="292"/>
      <c r="P198" s="588"/>
      <c r="Q198" s="247"/>
      <c r="R198" s="247"/>
      <c r="S198" s="247"/>
      <c r="T198" s="247"/>
      <c r="U198" s="247"/>
      <c r="V198" s="293"/>
      <c r="W198" s="247"/>
      <c r="X198" s="293"/>
      <c r="Y198" s="589"/>
      <c r="Z198" s="247"/>
      <c r="AA198" s="247"/>
      <c r="AB198" s="247"/>
    </row>
    <row r="199" spans="1:28" x14ac:dyDescent="0.25">
      <c r="A199" s="287"/>
      <c r="B199" s="287"/>
      <c r="C199" s="586"/>
      <c r="D199" s="287"/>
      <c r="E199" s="587"/>
      <c r="F199" s="247"/>
      <c r="G199" s="288"/>
      <c r="H199" s="289"/>
      <c r="I199" s="290"/>
      <c r="J199" s="291"/>
      <c r="K199" s="287"/>
      <c r="L199" s="289"/>
      <c r="M199" s="290"/>
      <c r="N199" s="291"/>
      <c r="O199" s="292"/>
      <c r="P199" s="588"/>
      <c r="Q199" s="247"/>
      <c r="R199" s="247"/>
      <c r="S199" s="247"/>
      <c r="T199" s="247"/>
      <c r="U199" s="247"/>
      <c r="V199" s="293"/>
      <c r="W199" s="247"/>
      <c r="X199" s="293"/>
      <c r="Y199" s="589"/>
      <c r="Z199" s="247"/>
      <c r="AA199" s="247"/>
      <c r="AB199" s="247"/>
    </row>
    <row r="200" spans="1:28" x14ac:dyDescent="0.25">
      <c r="A200" s="287"/>
      <c r="B200" s="287"/>
      <c r="C200" s="586"/>
      <c r="D200" s="287"/>
      <c r="E200" s="587"/>
      <c r="F200" s="247"/>
      <c r="G200" s="288"/>
      <c r="H200" s="289"/>
      <c r="I200" s="290"/>
      <c r="J200" s="291"/>
      <c r="K200" s="287"/>
      <c r="L200" s="289"/>
      <c r="M200" s="290"/>
      <c r="N200" s="291"/>
      <c r="O200" s="292"/>
      <c r="P200" s="588"/>
      <c r="Q200" s="247"/>
      <c r="R200" s="247"/>
      <c r="S200" s="247"/>
      <c r="T200" s="247"/>
      <c r="U200" s="247"/>
      <c r="V200" s="293"/>
      <c r="W200" s="247"/>
      <c r="X200" s="293"/>
      <c r="Y200" s="589"/>
      <c r="Z200" s="247"/>
      <c r="AA200" s="247"/>
      <c r="AB200" s="247"/>
    </row>
    <row r="201" spans="1:28" x14ac:dyDescent="0.25">
      <c r="A201" s="287"/>
      <c r="B201" s="287"/>
      <c r="C201" s="586"/>
      <c r="D201" s="287"/>
      <c r="E201" s="587"/>
      <c r="F201" s="247"/>
      <c r="G201" s="288"/>
      <c r="H201" s="289"/>
      <c r="I201" s="290"/>
      <c r="J201" s="291"/>
      <c r="K201" s="287"/>
      <c r="L201" s="289"/>
      <c r="M201" s="290"/>
      <c r="N201" s="291"/>
      <c r="O201" s="292"/>
      <c r="P201" s="588"/>
      <c r="Q201" s="247"/>
      <c r="R201" s="247"/>
      <c r="S201" s="247"/>
      <c r="T201" s="247"/>
      <c r="U201" s="247"/>
      <c r="V201" s="293"/>
      <c r="W201" s="247"/>
      <c r="X201" s="293"/>
      <c r="Y201" s="589"/>
      <c r="Z201" s="247"/>
      <c r="AA201" s="247"/>
      <c r="AB201" s="247"/>
    </row>
    <row r="202" spans="1:28" x14ac:dyDescent="0.25">
      <c r="A202" s="287"/>
      <c r="B202" s="287"/>
      <c r="C202" s="586"/>
      <c r="D202" s="287"/>
      <c r="E202" s="587"/>
      <c r="F202" s="247"/>
      <c r="G202" s="288"/>
      <c r="H202" s="289"/>
      <c r="I202" s="290"/>
      <c r="J202" s="291"/>
      <c r="K202" s="287"/>
      <c r="L202" s="289"/>
      <c r="M202" s="290"/>
      <c r="N202" s="291"/>
      <c r="O202" s="292"/>
      <c r="P202" s="588"/>
      <c r="Q202" s="247"/>
      <c r="R202" s="247"/>
      <c r="S202" s="247"/>
      <c r="T202" s="247"/>
      <c r="U202" s="247"/>
      <c r="V202" s="293"/>
      <c r="W202" s="247"/>
      <c r="X202" s="293"/>
      <c r="Y202" s="589"/>
      <c r="Z202" s="247"/>
      <c r="AA202" s="247"/>
      <c r="AB202" s="247"/>
    </row>
    <row r="203" spans="1:28" x14ac:dyDescent="0.25">
      <c r="A203" s="287"/>
      <c r="B203" s="287"/>
      <c r="C203" s="586"/>
      <c r="D203" s="287"/>
      <c r="E203" s="587"/>
      <c r="F203" s="247"/>
      <c r="G203" s="288"/>
      <c r="H203" s="289"/>
      <c r="I203" s="290"/>
      <c r="J203" s="291"/>
      <c r="K203" s="287"/>
      <c r="L203" s="289"/>
      <c r="M203" s="290"/>
      <c r="N203" s="291"/>
      <c r="O203" s="292"/>
      <c r="P203" s="588"/>
      <c r="Q203" s="247"/>
      <c r="R203" s="247"/>
      <c r="S203" s="247"/>
      <c r="T203" s="247"/>
      <c r="U203" s="247"/>
      <c r="V203" s="293"/>
      <c r="W203" s="247"/>
      <c r="X203" s="293"/>
      <c r="Y203" s="589"/>
      <c r="Z203" s="247"/>
      <c r="AA203" s="247"/>
      <c r="AB203" s="247"/>
    </row>
    <row r="204" spans="1:28" x14ac:dyDescent="0.25">
      <c r="A204" s="287"/>
      <c r="B204" s="287"/>
      <c r="C204" s="586"/>
      <c r="D204" s="287"/>
      <c r="E204" s="587"/>
      <c r="F204" s="247"/>
      <c r="G204" s="288"/>
      <c r="H204" s="289"/>
      <c r="I204" s="290"/>
      <c r="J204" s="291"/>
      <c r="K204" s="287"/>
      <c r="L204" s="289"/>
      <c r="M204" s="290"/>
      <c r="N204" s="291"/>
      <c r="O204" s="292"/>
      <c r="P204" s="588"/>
      <c r="Q204" s="247"/>
      <c r="R204" s="247"/>
      <c r="S204" s="247"/>
      <c r="T204" s="247"/>
      <c r="U204" s="247"/>
      <c r="V204" s="293"/>
      <c r="W204" s="247"/>
      <c r="X204" s="293"/>
      <c r="Y204" s="589"/>
      <c r="Z204" s="247"/>
      <c r="AA204" s="247"/>
      <c r="AB204" s="247"/>
    </row>
    <row r="205" spans="1:28" x14ac:dyDescent="0.25">
      <c r="A205" s="287"/>
      <c r="B205" s="287"/>
      <c r="C205" s="586"/>
      <c r="D205" s="287"/>
      <c r="E205" s="587"/>
      <c r="F205" s="247"/>
      <c r="G205" s="288"/>
      <c r="H205" s="289"/>
      <c r="I205" s="290"/>
      <c r="J205" s="291"/>
      <c r="K205" s="287"/>
      <c r="L205" s="289"/>
      <c r="M205" s="290"/>
      <c r="N205" s="291"/>
      <c r="O205" s="292"/>
      <c r="P205" s="588"/>
      <c r="Q205" s="247"/>
      <c r="R205" s="247"/>
      <c r="S205" s="247"/>
      <c r="T205" s="247"/>
      <c r="U205" s="247"/>
      <c r="V205" s="293"/>
      <c r="W205" s="247"/>
      <c r="X205" s="293"/>
      <c r="Y205" s="589"/>
      <c r="Z205" s="247"/>
      <c r="AA205" s="247"/>
      <c r="AB205" s="247"/>
    </row>
    <row r="206" spans="1:28" x14ac:dyDescent="0.25">
      <c r="A206" s="287"/>
      <c r="B206" s="287"/>
      <c r="C206" s="586"/>
      <c r="D206" s="287"/>
      <c r="E206" s="587"/>
      <c r="F206" s="590"/>
      <c r="G206" s="288"/>
      <c r="H206" s="289"/>
      <c r="I206" s="290"/>
      <c r="J206" s="291"/>
      <c r="K206" s="287"/>
      <c r="L206" s="289"/>
      <c r="M206" s="290"/>
      <c r="N206" s="291"/>
      <c r="O206" s="591"/>
      <c r="P206" s="588"/>
      <c r="Q206" s="247"/>
      <c r="R206" s="247"/>
      <c r="S206" s="247"/>
      <c r="T206" s="247"/>
      <c r="U206" s="293"/>
      <c r="V206" s="293"/>
      <c r="W206" s="247"/>
      <c r="X206" s="293"/>
      <c r="Y206" s="589"/>
      <c r="Z206" s="247"/>
      <c r="AA206" s="247"/>
      <c r="AB206" s="247"/>
    </row>
    <row r="207" spans="1:28" x14ac:dyDescent="0.25">
      <c r="A207" s="575" t="s">
        <v>201</v>
      </c>
      <c r="B207" s="576"/>
      <c r="C207" s="576" t="s">
        <v>174</v>
      </c>
      <c r="D207" s="576"/>
      <c r="E207" s="577" t="s">
        <v>437</v>
      </c>
      <c r="F207" s="576"/>
      <c r="G207" s="578"/>
      <c r="H207" s="579"/>
      <c r="I207" s="580"/>
      <c r="J207" s="576"/>
      <c r="K207" s="576"/>
      <c r="L207" s="581">
        <v>45944</v>
      </c>
      <c r="M207" s="582"/>
      <c r="N207" s="583"/>
      <c r="O207" s="584" t="s">
        <v>254</v>
      </c>
      <c r="P207" s="585">
        <v>45944</v>
      </c>
      <c r="Q207" s="323"/>
      <c r="R207" s="317"/>
      <c r="S207" s="318"/>
      <c r="T207" s="322"/>
      <c r="U207" s="322"/>
      <c r="V207" s="33"/>
      <c r="W207" s="33"/>
      <c r="X207" s="33"/>
      <c r="Y207" s="33"/>
    </row>
    <row r="208" spans="1:28" hidden="1" x14ac:dyDescent="0.25">
      <c r="A208" s="220" t="s">
        <v>46</v>
      </c>
      <c r="B208" s="324"/>
      <c r="C208" s="325"/>
      <c r="D208" s="324"/>
      <c r="E208" s="326"/>
      <c r="F208" s="326"/>
      <c r="G208" s="326"/>
      <c r="H208" s="327"/>
      <c r="I208" s="327"/>
      <c r="J208" s="326"/>
      <c r="K208" s="326"/>
      <c r="L208" s="326"/>
      <c r="M208" s="327"/>
      <c r="N208" s="326"/>
      <c r="O208" s="326"/>
      <c r="P208" s="326"/>
      <c r="Q208" s="209">
        <f>IF(L46 &gt;=L61, L61,L46)</f>
        <v>0</v>
      </c>
      <c r="R208" s="213">
        <f>+L61-Q208</f>
        <v>0</v>
      </c>
      <c r="S208" s="319" t="s">
        <v>109</v>
      </c>
      <c r="V208" s="33"/>
      <c r="W208" s="33"/>
      <c r="X208" s="33"/>
      <c r="Y208" s="33"/>
    </row>
    <row r="209" spans="1:25" hidden="1" x14ac:dyDescent="0.25">
      <c r="A209" s="220" t="s">
        <v>47</v>
      </c>
      <c r="B209" s="614"/>
      <c r="C209" s="212"/>
      <c r="D209" s="212"/>
      <c r="E209" s="215"/>
      <c r="F209" s="212"/>
      <c r="G209" s="216"/>
      <c r="H209" s="216"/>
      <c r="I209" s="216"/>
      <c r="J209" s="211"/>
      <c r="K209" s="211"/>
      <c r="L209" s="211"/>
      <c r="M209" s="217"/>
      <c r="N209" s="211"/>
      <c r="O209" s="212"/>
      <c r="P209" s="212"/>
      <c r="Q209" s="214" t="s">
        <v>109</v>
      </c>
      <c r="R209" s="214" t="s">
        <v>109</v>
      </c>
      <c r="S209" s="320">
        <f>IF(L68 &gt;=R208,R208,L68)</f>
        <v>0</v>
      </c>
      <c r="V209" s="33"/>
      <c r="W209" s="33"/>
      <c r="X209" s="33"/>
      <c r="Y209" s="33"/>
    </row>
    <row r="210" spans="1:25" x14ac:dyDescent="0.25">
      <c r="A210" s="292"/>
      <c r="B210" s="247"/>
      <c r="C210" s="613"/>
      <c r="D210" s="209"/>
      <c r="E210" s="207"/>
      <c r="F210" s="218"/>
      <c r="G210" s="218"/>
      <c r="H210" s="568" t="s">
        <v>103</v>
      </c>
      <c r="I210" s="198">
        <f>SUM(I108:I206)</f>
        <v>0</v>
      </c>
      <c r="J210" s="219"/>
      <c r="K210" s="219"/>
      <c r="L210" s="219"/>
      <c r="M210" s="248"/>
      <c r="N210" s="219"/>
      <c r="O210" s="209"/>
      <c r="P210" s="212"/>
      <c r="Q210" s="212" t="s">
        <v>182</v>
      </c>
      <c r="R210" s="212"/>
      <c r="S210" s="320">
        <f>+Q208+S209</f>
        <v>0</v>
      </c>
    </row>
    <row r="211" spans="1:25" hidden="1" x14ac:dyDescent="0.25">
      <c r="A211" s="44"/>
      <c r="B211" s="16" t="b">
        <v>1</v>
      </c>
      <c r="E211" s="200">
        <v>1230</v>
      </c>
      <c r="F211" s="45" t="s">
        <v>175</v>
      </c>
      <c r="G211" s="45"/>
      <c r="H211" s="45"/>
      <c r="I211" s="45"/>
      <c r="J211" s="44"/>
      <c r="K211" s="44"/>
      <c r="L211" s="44"/>
      <c r="M211" s="46"/>
      <c r="N211" s="44"/>
      <c r="Q211" s="47"/>
      <c r="R211" s="47"/>
    </row>
    <row r="212" spans="1:25" ht="15.75" hidden="1" thickBot="1" x14ac:dyDescent="0.3">
      <c r="A212" s="141" t="s">
        <v>219</v>
      </c>
      <c r="B212" s="16" t="b">
        <v>0</v>
      </c>
      <c r="E212" s="48"/>
      <c r="F212" s="45" t="s">
        <v>104</v>
      </c>
      <c r="G212" s="45"/>
      <c r="H212" s="45"/>
      <c r="I212" s="45"/>
      <c r="J212" s="44"/>
      <c r="K212" s="44"/>
      <c r="L212" s="44"/>
      <c r="M212" s="44"/>
      <c r="N212" s="44"/>
    </row>
    <row r="213" spans="1:25" ht="15.75" hidden="1" thickBot="1" x14ac:dyDescent="0.3">
      <c r="A213" s="49" t="s">
        <v>176</v>
      </c>
      <c r="E213" s="50"/>
      <c r="F213" s="45"/>
      <c r="G213" s="45"/>
      <c r="H213" s="45"/>
      <c r="I213" s="45"/>
      <c r="J213" s="44"/>
      <c r="K213" s="44"/>
      <c r="L213" s="44"/>
      <c r="M213" s="44"/>
      <c r="N213" s="44"/>
    </row>
    <row r="214" spans="1:25" hidden="1" x14ac:dyDescent="0.25">
      <c r="A214" s="101" t="s">
        <v>129</v>
      </c>
      <c r="B214" s="102" t="e">
        <f>IF(#REF! &lt;1500,#REF!,0)</f>
        <v>#REF!</v>
      </c>
      <c r="C214" s="101"/>
      <c r="D214" s="108"/>
      <c r="E214" s="109"/>
      <c r="F214" s="110"/>
      <c r="G214" s="110"/>
      <c r="H214" s="110"/>
      <c r="I214" s="111"/>
      <c r="J214" s="44"/>
      <c r="K214" s="44"/>
      <c r="L214" s="44"/>
      <c r="M214" s="44"/>
      <c r="N214" s="44"/>
      <c r="U214" s="33" t="s">
        <v>347</v>
      </c>
    </row>
    <row r="215" spans="1:25" hidden="1" x14ac:dyDescent="0.25">
      <c r="A215" s="103" t="s">
        <v>130</v>
      </c>
      <c r="B215" s="104" t="e">
        <f>IF(#REF! &lt;1500,#REF!,0)</f>
        <v>#REF!</v>
      </c>
      <c r="C215" s="103"/>
      <c r="D215" s="41"/>
      <c r="E215" s="98"/>
      <c r="F215" s="99"/>
      <c r="G215" s="99"/>
      <c r="H215" s="99"/>
      <c r="I215" s="112"/>
      <c r="J215" s="44"/>
      <c r="K215" s="44"/>
      <c r="L215" s="44"/>
      <c r="M215" s="44"/>
      <c r="N215" s="44"/>
      <c r="U215" s="33" t="s">
        <v>347</v>
      </c>
    </row>
    <row r="216" spans="1:25" hidden="1" x14ac:dyDescent="0.25">
      <c r="A216" s="103" t="s">
        <v>138</v>
      </c>
      <c r="B216" s="104" t="e">
        <f>IF(#REF! &lt;1500,#REF!,0)</f>
        <v>#REF!</v>
      </c>
      <c r="C216" s="103"/>
      <c r="D216" s="41"/>
      <c r="E216" s="98"/>
      <c r="F216" s="99"/>
      <c r="G216" s="99"/>
      <c r="H216" s="99"/>
      <c r="I216" s="112"/>
      <c r="J216" s="44"/>
      <c r="K216" s="44"/>
      <c r="L216" s="44"/>
      <c r="M216" s="44"/>
      <c r="N216" s="44"/>
      <c r="U216" s="33" t="s">
        <v>347</v>
      </c>
    </row>
    <row r="217" spans="1:25" hidden="1" x14ac:dyDescent="0.25">
      <c r="A217" s="103" t="s">
        <v>45</v>
      </c>
      <c r="B217" s="104" t="e">
        <f>IF(#REF! &lt;1500,#REF!,0)</f>
        <v>#REF!</v>
      </c>
      <c r="C217" s="103"/>
      <c r="D217" s="41"/>
      <c r="E217" s="98"/>
      <c r="F217" s="99"/>
      <c r="G217" s="99"/>
      <c r="H217" s="99"/>
      <c r="I217" s="112"/>
      <c r="J217" s="44"/>
      <c r="K217" s="44"/>
      <c r="L217" s="44"/>
      <c r="M217" s="44"/>
      <c r="N217" s="44"/>
      <c r="U217" s="33" t="s">
        <v>347</v>
      </c>
    </row>
    <row r="218" spans="1:25" hidden="1" x14ac:dyDescent="0.25">
      <c r="A218" s="103" t="s">
        <v>131</v>
      </c>
      <c r="B218" s="104" t="e">
        <f>IF(#REF! &lt;1500,#REF!,0)</f>
        <v>#REF!</v>
      </c>
      <c r="C218" s="103"/>
      <c r="D218" s="41"/>
      <c r="E218" s="98"/>
      <c r="F218" s="99"/>
      <c r="G218" s="99"/>
      <c r="H218" s="99"/>
      <c r="I218" s="112"/>
      <c r="J218" s="44"/>
      <c r="K218" s="44"/>
      <c r="L218" s="44"/>
      <c r="M218" s="44"/>
      <c r="N218" s="44"/>
      <c r="U218" s="33" t="s">
        <v>347</v>
      </c>
    </row>
    <row r="219" spans="1:25" hidden="1" x14ac:dyDescent="0.25">
      <c r="A219" s="103" t="s">
        <v>133</v>
      </c>
      <c r="B219" s="104" t="e">
        <f>IF(#REF! &lt;1500,#REF!,0)</f>
        <v>#REF!</v>
      </c>
      <c r="C219" s="103"/>
      <c r="D219" s="41"/>
      <c r="E219" s="98"/>
      <c r="F219" s="99"/>
      <c r="G219" s="99"/>
      <c r="H219" s="99"/>
      <c r="I219" s="112"/>
      <c r="J219" s="44"/>
      <c r="K219" s="44"/>
      <c r="L219" s="44"/>
      <c r="M219" s="44"/>
      <c r="N219" s="44"/>
      <c r="U219" s="33" t="s">
        <v>347</v>
      </c>
    </row>
    <row r="220" spans="1:25" ht="15.75" hidden="1" thickBot="1" x14ac:dyDescent="0.3">
      <c r="A220" s="103" t="s">
        <v>136</v>
      </c>
      <c r="B220" s="104" t="e">
        <f>IF(#REF! &lt;1500,#REF!,0)</f>
        <v>#REF!</v>
      </c>
      <c r="C220" s="113"/>
      <c r="D220" s="114"/>
      <c r="E220" s="115"/>
      <c r="F220" s="116"/>
      <c r="G220" s="116"/>
      <c r="H220" s="116"/>
      <c r="I220" s="117"/>
      <c r="J220" s="44"/>
      <c r="K220" s="44"/>
      <c r="L220" s="44"/>
      <c r="M220" s="44"/>
      <c r="N220" s="44"/>
      <c r="U220" s="33" t="s">
        <v>347</v>
      </c>
    </row>
    <row r="221" spans="1:25" ht="15.75" hidden="1" thickBot="1" x14ac:dyDescent="0.3">
      <c r="A221" s="105" t="s">
        <v>144</v>
      </c>
      <c r="B221" s="104" t="e">
        <f>SUM(B214:B220)</f>
        <v>#REF!</v>
      </c>
      <c r="C221" s="51" t="s">
        <v>179</v>
      </c>
      <c r="D221" s="52"/>
      <c r="E221" s="53"/>
      <c r="F221" s="54"/>
      <c r="G221" s="54"/>
      <c r="H221" s="54"/>
      <c r="I221" s="55"/>
      <c r="J221" s="56"/>
      <c r="K221" s="56"/>
      <c r="L221" s="57"/>
      <c r="M221" s="56"/>
      <c r="N221" s="57"/>
      <c r="U221" s="33" t="s">
        <v>347</v>
      </c>
    </row>
    <row r="222" spans="1:25" ht="15.75" hidden="1" thickBot="1" x14ac:dyDescent="0.3">
      <c r="A222" s="103" t="s">
        <v>137</v>
      </c>
      <c r="B222" s="104" t="e">
        <f>IF(#REF! &lt;300,#REF!, 0)</f>
        <v>#REF!</v>
      </c>
      <c r="C222" s="58" t="s">
        <v>180</v>
      </c>
      <c r="D222" s="59"/>
      <c r="E222" s="60"/>
      <c r="F222" s="61"/>
      <c r="G222" s="61"/>
      <c r="H222" s="61"/>
      <c r="I222" s="61"/>
      <c r="J222" s="62"/>
      <c r="K222" s="62"/>
      <c r="L222" s="62"/>
      <c r="M222" s="62"/>
      <c r="N222" s="63"/>
      <c r="U222" s="33" t="s">
        <v>347</v>
      </c>
    </row>
    <row r="223" spans="1:25" ht="15.75" hidden="1" thickBot="1" x14ac:dyDescent="0.3">
      <c r="A223" s="106" t="s">
        <v>181</v>
      </c>
      <c r="B223" s="107" t="e">
        <f xml:space="preserve"> IF(#REF! &gt;=1500, +IF(#REF! &gt; 0,#REF!-((Pkge!S210/#REF!)*#REF!),0),#REF!)</f>
        <v>#REF!</v>
      </c>
      <c r="C223" s="58" t="s">
        <v>199</v>
      </c>
      <c r="D223" s="59"/>
      <c r="E223" s="60"/>
      <c r="F223" s="61"/>
      <c r="G223" s="61"/>
      <c r="H223" s="64"/>
      <c r="I223" s="61"/>
      <c r="J223" s="62"/>
      <c r="K223" s="62"/>
      <c r="L223" s="62"/>
      <c r="M223" s="62"/>
      <c r="N223" s="63"/>
      <c r="U223" s="33" t="s">
        <v>347</v>
      </c>
    </row>
    <row r="224" spans="1:25" hidden="1" x14ac:dyDescent="0.25">
      <c r="A224" s="141" t="s">
        <v>219</v>
      </c>
      <c r="B224" s="100"/>
      <c r="U224" s="33" t="s">
        <v>347</v>
      </c>
    </row>
    <row r="225" spans="1:25" hidden="1" x14ac:dyDescent="0.25">
      <c r="A225" s="97" t="s">
        <v>183</v>
      </c>
      <c r="B225" s="97" t="b">
        <v>1</v>
      </c>
      <c r="U225" s="33" t="s">
        <v>347</v>
      </c>
    </row>
    <row r="226" spans="1:25" hidden="1" x14ac:dyDescent="0.25">
      <c r="A226" s="97" t="s">
        <v>184</v>
      </c>
      <c r="B226" s="97" t="b">
        <v>0</v>
      </c>
      <c r="U226" s="33" t="s">
        <v>347</v>
      </c>
    </row>
    <row r="227" spans="1:25" hidden="1" x14ac:dyDescent="0.25">
      <c r="A227" s="41"/>
      <c r="B227" s="95" t="s">
        <v>2</v>
      </c>
      <c r="C227" s="95" t="s">
        <v>1</v>
      </c>
      <c r="U227" s="33" t="s">
        <v>347</v>
      </c>
    </row>
    <row r="228" spans="1:25" hidden="1" x14ac:dyDescent="0.25">
      <c r="A228" s="41" t="s">
        <v>193</v>
      </c>
      <c r="B228" s="96">
        <f>SUM(L94:L100)</f>
        <v>0</v>
      </c>
      <c r="C228" s="41">
        <f>SUM(J94:J100)</f>
        <v>0</v>
      </c>
      <c r="U228" s="33" t="s">
        <v>347</v>
      </c>
    </row>
    <row r="229" spans="1:25" hidden="1" x14ac:dyDescent="0.25">
      <c r="A229" s="41" t="s">
        <v>194</v>
      </c>
      <c r="B229" s="96">
        <f>+L94+L95+L96+L97</f>
        <v>0</v>
      </c>
      <c r="C229" s="41">
        <f>+J94+J95+J96+J97</f>
        <v>0</v>
      </c>
      <c r="U229" s="33" t="s">
        <v>347</v>
      </c>
    </row>
    <row r="230" spans="1:25" hidden="1" x14ac:dyDescent="0.25">
      <c r="A230" s="41" t="s">
        <v>195</v>
      </c>
      <c r="B230" s="96">
        <f>+L101+L102</f>
        <v>0</v>
      </c>
      <c r="C230" s="41">
        <f>+J101+J102</f>
        <v>0</v>
      </c>
      <c r="U230" s="33" t="s">
        <v>347</v>
      </c>
    </row>
    <row r="231" spans="1:25" hidden="1" x14ac:dyDescent="0.25">
      <c r="A231" s="41" t="s">
        <v>196</v>
      </c>
      <c r="B231" s="96">
        <f>+L101</f>
        <v>0</v>
      </c>
      <c r="C231" s="41">
        <f>+J101</f>
        <v>0</v>
      </c>
      <c r="U231" s="33" t="s">
        <v>347</v>
      </c>
    </row>
    <row r="232" spans="1:25" hidden="1" x14ac:dyDescent="0.25">
      <c r="A232" s="41" t="s">
        <v>197</v>
      </c>
      <c r="B232" s="96">
        <f>+L103+L104+L105+L106</f>
        <v>0</v>
      </c>
      <c r="C232" s="41">
        <f>+J103+J104+J105+J106</f>
        <v>0</v>
      </c>
      <c r="U232" s="33" t="s">
        <v>347</v>
      </c>
    </row>
    <row r="233" spans="1:25" hidden="1" x14ac:dyDescent="0.25">
      <c r="A233" s="41" t="s">
        <v>198</v>
      </c>
      <c r="B233" s="96">
        <f>+L103+L104</f>
        <v>0</v>
      </c>
      <c r="C233" s="41">
        <f>+J103+J104</f>
        <v>0</v>
      </c>
      <c r="U233" s="33" t="s">
        <v>347</v>
      </c>
    </row>
    <row r="234" spans="1:25" hidden="1" x14ac:dyDescent="0.25">
      <c r="U234" s="33" t="s">
        <v>347</v>
      </c>
    </row>
    <row r="235" spans="1:25" hidden="1" x14ac:dyDescent="0.25">
      <c r="A235" s="125" t="s">
        <v>220</v>
      </c>
      <c r="U235" s="33" t="s">
        <v>347</v>
      </c>
    </row>
    <row r="236" spans="1:25" hidden="1" x14ac:dyDescent="0.25">
      <c r="A236" s="125" t="s">
        <v>221</v>
      </c>
      <c r="U236" s="33" t="s">
        <v>347</v>
      </c>
    </row>
    <row r="237" spans="1:25" hidden="1" x14ac:dyDescent="0.25">
      <c r="A237" s="139" t="e">
        <f>+Purchases!#REF!</f>
        <v>#REF!</v>
      </c>
      <c r="B237" s="127"/>
      <c r="C237" s="128">
        <f>IF(ISERROR(+Purchases!#REF!),0, +Purchases!#REF!)</f>
        <v>0</v>
      </c>
      <c r="D237" s="129" t="s">
        <v>70</v>
      </c>
      <c r="E237" s="130">
        <f>IF(ISERROR(+Purchases!#REF!),0, +Purchases!#REF!)</f>
        <v>0</v>
      </c>
      <c r="F237" s="126">
        <v>1</v>
      </c>
      <c r="G237" s="131">
        <f>IF(C237 &gt;0, ROUND(IF(B$3 =1, H237*C237, H237/C237),2),0)</f>
        <v>0</v>
      </c>
      <c r="H237" s="132" t="e">
        <f>+Purchases!#REF!</f>
        <v>#REF!</v>
      </c>
      <c r="I237" s="133">
        <f>IF(B$3 = 1, H237*E237,IF(C237 &gt;0,  (H237/C237) *E237,0))</f>
        <v>0</v>
      </c>
      <c r="J237" s="134">
        <f>ROUND(IF($B$3 =1, H237*F237, IF(C237&gt;0,  (H237/C237) *F237,0)),2)</f>
        <v>0</v>
      </c>
      <c r="K237" s="126"/>
      <c r="L237" s="132" t="e">
        <f t="shared" ref="L237" si="101">IF( $B$3 = 1,  G237,H237 )</f>
        <v>#REF!</v>
      </c>
      <c r="M237" s="135">
        <f t="shared" ref="M237" si="102">+I237</f>
        <v>0</v>
      </c>
      <c r="N237" s="136">
        <f t="shared" ref="N237" si="103">+J237</f>
        <v>0</v>
      </c>
      <c r="O237" s="129" t="e">
        <f>+A237</f>
        <v>#REF!</v>
      </c>
      <c r="P237" s="137">
        <v>44030</v>
      </c>
      <c r="Q237" s="138"/>
      <c r="R237" s="138"/>
      <c r="S237" s="321"/>
      <c r="U237" s="33" t="s">
        <v>347</v>
      </c>
      <c r="V237" s="16" t="s">
        <v>171</v>
      </c>
      <c r="Y237" s="143" t="s">
        <v>252</v>
      </c>
    </row>
    <row r="238" spans="1:25" hidden="1" x14ac:dyDescent="0.25">
      <c r="A238" s="139" t="e">
        <f>+Purchases!#REF!</f>
        <v>#REF!</v>
      </c>
      <c r="B238" s="127"/>
      <c r="C238" s="128">
        <f>IF(ISERROR(+Purchases!#REF!),0, +Purchases!#REF!)</f>
        <v>0</v>
      </c>
      <c r="D238" s="129" t="s">
        <v>70</v>
      </c>
      <c r="E238" s="130">
        <f>IF(ISERROR(+Purchases!#REF!),0, +Purchases!#REF!)</f>
        <v>0</v>
      </c>
      <c r="F238" s="126">
        <v>1</v>
      </c>
      <c r="G238" s="131">
        <f t="shared" ref="G238:G256" si="104">IF(C238 &gt;0, ROUND(IF(B$3 =1, H238*C238, H238/C238),2),0)</f>
        <v>0</v>
      </c>
      <c r="H238" s="132" t="e">
        <f>+Purchases!#REF!</f>
        <v>#REF!</v>
      </c>
      <c r="I238" s="133">
        <f t="shared" ref="I238:I256" si="105">IF(B$3 = 1, H238*E238,IF(C238 &gt;0,  (H238/C238) *E238,0))</f>
        <v>0</v>
      </c>
      <c r="J238" s="134">
        <f t="shared" ref="J238:J256" si="106">ROUND(IF($B$3 =1, H238*F238, IF(C238&gt;0,  (H238/C238) *F238,0)),2)</f>
        <v>0</v>
      </c>
      <c r="K238" s="126"/>
      <c r="L238" s="132" t="e">
        <f t="shared" ref="L238:L248" si="107">IF( $B$3 = 1,  G238,H238 )</f>
        <v>#REF!</v>
      </c>
      <c r="M238" s="135">
        <f t="shared" ref="M238:M248" si="108">+I238</f>
        <v>0</v>
      </c>
      <c r="N238" s="136">
        <f t="shared" ref="N238:N248" si="109">+J238</f>
        <v>0</v>
      </c>
      <c r="O238" s="129" t="e">
        <f t="shared" ref="O238:O256" si="110">+A238</f>
        <v>#REF!</v>
      </c>
      <c r="P238" s="137">
        <v>44030</v>
      </c>
      <c r="Q238" s="138"/>
      <c r="R238" s="138"/>
      <c r="S238" s="321"/>
      <c r="U238" s="33" t="s">
        <v>347</v>
      </c>
      <c r="V238" s="16" t="s">
        <v>171</v>
      </c>
      <c r="Y238" s="143" t="s">
        <v>252</v>
      </c>
    </row>
    <row r="239" spans="1:25" hidden="1" x14ac:dyDescent="0.25">
      <c r="A239" s="139" t="e">
        <f>+Purchases!#REF!</f>
        <v>#REF!</v>
      </c>
      <c r="B239" s="127"/>
      <c r="C239" s="128">
        <f>IF(ISERROR(+Purchases!#REF!),0, +Purchases!#REF!)</f>
        <v>0</v>
      </c>
      <c r="D239" s="129" t="s">
        <v>70</v>
      </c>
      <c r="E239" s="130">
        <f>IF(ISERROR(+Purchases!#REF!),0, +Purchases!#REF!)</f>
        <v>0</v>
      </c>
      <c r="F239" s="126">
        <v>1</v>
      </c>
      <c r="G239" s="131">
        <f t="shared" si="104"/>
        <v>0</v>
      </c>
      <c r="H239" s="132" t="e">
        <f>+Purchases!#REF!</f>
        <v>#REF!</v>
      </c>
      <c r="I239" s="133">
        <f t="shared" si="105"/>
        <v>0</v>
      </c>
      <c r="J239" s="134">
        <f t="shared" si="106"/>
        <v>0</v>
      </c>
      <c r="K239" s="126"/>
      <c r="L239" s="132" t="e">
        <f t="shared" si="107"/>
        <v>#REF!</v>
      </c>
      <c r="M239" s="135">
        <f t="shared" si="108"/>
        <v>0</v>
      </c>
      <c r="N239" s="136">
        <f t="shared" si="109"/>
        <v>0</v>
      </c>
      <c r="O239" s="129" t="e">
        <f t="shared" si="110"/>
        <v>#REF!</v>
      </c>
      <c r="P239" s="137">
        <v>44030</v>
      </c>
      <c r="Q239" s="138"/>
      <c r="R239" s="138"/>
      <c r="S239" s="321"/>
      <c r="U239" s="33" t="s">
        <v>347</v>
      </c>
      <c r="V239" s="16" t="s">
        <v>171</v>
      </c>
      <c r="Y239" s="143" t="s">
        <v>252</v>
      </c>
    </row>
    <row r="240" spans="1:25" hidden="1" x14ac:dyDescent="0.25">
      <c r="A240" s="139" t="e">
        <f>+Purchases!#REF!</f>
        <v>#REF!</v>
      </c>
      <c r="B240" s="127"/>
      <c r="C240" s="128">
        <f>IF(ISERROR(+Purchases!#REF!),0, +Purchases!#REF!)</f>
        <v>0</v>
      </c>
      <c r="D240" s="129" t="s">
        <v>70</v>
      </c>
      <c r="E240" s="130">
        <f>IF(ISERROR(+Purchases!#REF!),0, +Purchases!#REF!)</f>
        <v>0</v>
      </c>
      <c r="F240" s="126">
        <v>1</v>
      </c>
      <c r="G240" s="131">
        <f t="shared" si="104"/>
        <v>0</v>
      </c>
      <c r="H240" s="132" t="e">
        <f>+Purchases!#REF!</f>
        <v>#REF!</v>
      </c>
      <c r="I240" s="133">
        <f t="shared" si="105"/>
        <v>0</v>
      </c>
      <c r="J240" s="134">
        <f t="shared" si="106"/>
        <v>0</v>
      </c>
      <c r="K240" s="126"/>
      <c r="L240" s="132" t="e">
        <f t="shared" si="107"/>
        <v>#REF!</v>
      </c>
      <c r="M240" s="135">
        <f t="shared" si="108"/>
        <v>0</v>
      </c>
      <c r="N240" s="136">
        <f t="shared" si="109"/>
        <v>0</v>
      </c>
      <c r="O240" s="129" t="e">
        <f t="shared" si="110"/>
        <v>#REF!</v>
      </c>
      <c r="P240" s="137">
        <v>44030</v>
      </c>
      <c r="Q240" s="138"/>
      <c r="R240" s="138"/>
      <c r="S240" s="321"/>
      <c r="U240" s="33" t="s">
        <v>347</v>
      </c>
      <c r="V240" s="16" t="s">
        <v>171</v>
      </c>
      <c r="Y240" s="143" t="s">
        <v>252</v>
      </c>
    </row>
    <row r="241" spans="1:25" hidden="1" x14ac:dyDescent="0.25">
      <c r="A241" s="139" t="e">
        <f>+Purchases!#REF!</f>
        <v>#REF!</v>
      </c>
      <c r="B241" s="127"/>
      <c r="C241" s="128">
        <f>IF(ISERROR(+Purchases!#REF!),0, +Purchases!#REF!)</f>
        <v>0</v>
      </c>
      <c r="D241" s="129" t="s">
        <v>70</v>
      </c>
      <c r="E241" s="130">
        <f>IF(ISERROR(+Purchases!#REF!),0, +Purchases!#REF!)</f>
        <v>0</v>
      </c>
      <c r="F241" s="126">
        <v>1</v>
      </c>
      <c r="G241" s="131">
        <f t="shared" si="104"/>
        <v>0</v>
      </c>
      <c r="H241" s="132" t="e">
        <f>+Purchases!#REF!</f>
        <v>#REF!</v>
      </c>
      <c r="I241" s="133">
        <f t="shared" si="105"/>
        <v>0</v>
      </c>
      <c r="J241" s="134">
        <f t="shared" si="106"/>
        <v>0</v>
      </c>
      <c r="K241" s="126"/>
      <c r="L241" s="132" t="e">
        <f t="shared" si="107"/>
        <v>#REF!</v>
      </c>
      <c r="M241" s="135">
        <f t="shared" si="108"/>
        <v>0</v>
      </c>
      <c r="N241" s="136">
        <f t="shared" si="109"/>
        <v>0</v>
      </c>
      <c r="O241" s="129" t="e">
        <f t="shared" si="110"/>
        <v>#REF!</v>
      </c>
      <c r="P241" s="137">
        <v>44030</v>
      </c>
      <c r="Q241" s="138"/>
      <c r="R241" s="138"/>
      <c r="S241" s="321"/>
      <c r="U241" s="33" t="s">
        <v>347</v>
      </c>
      <c r="V241" s="16" t="s">
        <v>171</v>
      </c>
      <c r="Y241" s="143" t="s">
        <v>252</v>
      </c>
    </row>
    <row r="242" spans="1:25" hidden="1" x14ac:dyDescent="0.25">
      <c r="A242" s="139" t="e">
        <f>+Purchases!#REF!</f>
        <v>#REF!</v>
      </c>
      <c r="B242" s="127"/>
      <c r="C242" s="128">
        <f>IF(ISERROR(+Purchases!#REF!),0, +Purchases!#REF!)</f>
        <v>0</v>
      </c>
      <c r="D242" s="129" t="s">
        <v>70</v>
      </c>
      <c r="E242" s="130">
        <f>IF(ISERROR(+Purchases!#REF!),0, +Purchases!#REF!)</f>
        <v>0</v>
      </c>
      <c r="F242" s="126">
        <v>1</v>
      </c>
      <c r="G242" s="131">
        <f t="shared" si="104"/>
        <v>0</v>
      </c>
      <c r="H242" s="132" t="e">
        <f>+Purchases!#REF!</f>
        <v>#REF!</v>
      </c>
      <c r="I242" s="133">
        <f t="shared" si="105"/>
        <v>0</v>
      </c>
      <c r="J242" s="134">
        <f t="shared" si="106"/>
        <v>0</v>
      </c>
      <c r="K242" s="126"/>
      <c r="L242" s="132" t="e">
        <f t="shared" si="107"/>
        <v>#REF!</v>
      </c>
      <c r="M242" s="135">
        <f t="shared" si="108"/>
        <v>0</v>
      </c>
      <c r="N242" s="136">
        <f t="shared" si="109"/>
        <v>0</v>
      </c>
      <c r="O242" s="129" t="e">
        <f t="shared" si="110"/>
        <v>#REF!</v>
      </c>
      <c r="P242" s="137">
        <v>44030</v>
      </c>
      <c r="Q242" s="138"/>
      <c r="R242" s="138"/>
      <c r="S242" s="321"/>
      <c r="U242" s="33" t="s">
        <v>347</v>
      </c>
      <c r="V242" s="16" t="s">
        <v>171</v>
      </c>
      <c r="Y242" s="143" t="s">
        <v>252</v>
      </c>
    </row>
    <row r="243" spans="1:25" hidden="1" x14ac:dyDescent="0.25">
      <c r="A243" s="139" t="e">
        <f>+Purchases!#REF!</f>
        <v>#REF!</v>
      </c>
      <c r="B243" s="127"/>
      <c r="C243" s="128">
        <f>IF(ISERROR(+Purchases!#REF!),0, +Purchases!#REF!)</f>
        <v>0</v>
      </c>
      <c r="D243" s="129" t="s">
        <v>70</v>
      </c>
      <c r="E243" s="130">
        <f>IF(ISERROR(+Purchases!#REF!),0, +Purchases!#REF!)</f>
        <v>0</v>
      </c>
      <c r="F243" s="126">
        <v>1</v>
      </c>
      <c r="G243" s="131">
        <f t="shared" si="104"/>
        <v>0</v>
      </c>
      <c r="H243" s="132" t="e">
        <f>+Purchases!#REF!</f>
        <v>#REF!</v>
      </c>
      <c r="I243" s="133">
        <f t="shared" si="105"/>
        <v>0</v>
      </c>
      <c r="J243" s="134">
        <f t="shared" si="106"/>
        <v>0</v>
      </c>
      <c r="K243" s="126"/>
      <c r="L243" s="132" t="e">
        <f t="shared" si="107"/>
        <v>#REF!</v>
      </c>
      <c r="M243" s="135">
        <f t="shared" si="108"/>
        <v>0</v>
      </c>
      <c r="N243" s="136">
        <f t="shared" si="109"/>
        <v>0</v>
      </c>
      <c r="O243" s="129" t="e">
        <f t="shared" si="110"/>
        <v>#REF!</v>
      </c>
      <c r="P243" s="137">
        <v>44030</v>
      </c>
      <c r="Q243" s="138"/>
      <c r="R243" s="138"/>
      <c r="S243" s="321"/>
      <c r="U243" s="33" t="s">
        <v>347</v>
      </c>
      <c r="V243" s="16" t="s">
        <v>171</v>
      </c>
      <c r="Y243" s="143" t="s">
        <v>252</v>
      </c>
    </row>
    <row r="244" spans="1:25" hidden="1" x14ac:dyDescent="0.25">
      <c r="A244" s="139" t="e">
        <f>+Purchases!#REF!</f>
        <v>#REF!</v>
      </c>
      <c r="B244" s="127"/>
      <c r="C244" s="128">
        <f>IF(ISERROR(+Purchases!#REF!),0, +Purchases!#REF!)</f>
        <v>0</v>
      </c>
      <c r="D244" s="129" t="s">
        <v>70</v>
      </c>
      <c r="E244" s="130">
        <f>IF(ISERROR(+Purchases!#REF!),0, +Purchases!#REF!)</f>
        <v>0</v>
      </c>
      <c r="F244" s="126">
        <v>1</v>
      </c>
      <c r="G244" s="131">
        <f t="shared" si="104"/>
        <v>0</v>
      </c>
      <c r="H244" s="132" t="e">
        <f>+Purchases!#REF!</f>
        <v>#REF!</v>
      </c>
      <c r="I244" s="133">
        <f t="shared" si="105"/>
        <v>0</v>
      </c>
      <c r="J244" s="134">
        <f t="shared" si="106"/>
        <v>0</v>
      </c>
      <c r="K244" s="126"/>
      <c r="L244" s="132" t="e">
        <f t="shared" si="107"/>
        <v>#REF!</v>
      </c>
      <c r="M244" s="135">
        <f t="shared" si="108"/>
        <v>0</v>
      </c>
      <c r="N244" s="136">
        <f t="shared" si="109"/>
        <v>0</v>
      </c>
      <c r="O244" s="129" t="e">
        <f t="shared" si="110"/>
        <v>#REF!</v>
      </c>
      <c r="P244" s="137">
        <v>44030</v>
      </c>
      <c r="Q244" s="138"/>
      <c r="R244" s="138"/>
      <c r="S244" s="321"/>
      <c r="U244" s="33" t="s">
        <v>347</v>
      </c>
      <c r="V244" s="16" t="s">
        <v>171</v>
      </c>
      <c r="Y244" s="143" t="s">
        <v>252</v>
      </c>
    </row>
    <row r="245" spans="1:25" hidden="1" x14ac:dyDescent="0.25">
      <c r="A245" s="139" t="e">
        <f>+Purchases!#REF!</f>
        <v>#REF!</v>
      </c>
      <c r="B245" s="127"/>
      <c r="C245" s="128">
        <f>IF(ISERROR(+Purchases!#REF!),0, +Purchases!#REF!)</f>
        <v>0</v>
      </c>
      <c r="D245" s="129" t="s">
        <v>70</v>
      </c>
      <c r="E245" s="130">
        <f>IF(ISERROR(+Purchases!#REF!),0, +Purchases!#REF!)</f>
        <v>0</v>
      </c>
      <c r="F245" s="126">
        <v>1</v>
      </c>
      <c r="G245" s="131">
        <f t="shared" si="104"/>
        <v>0</v>
      </c>
      <c r="H245" s="132" t="e">
        <f>+Purchases!#REF!</f>
        <v>#REF!</v>
      </c>
      <c r="I245" s="133">
        <f t="shared" si="105"/>
        <v>0</v>
      </c>
      <c r="J245" s="134">
        <f t="shared" si="106"/>
        <v>0</v>
      </c>
      <c r="K245" s="126"/>
      <c r="L245" s="132" t="e">
        <f t="shared" si="107"/>
        <v>#REF!</v>
      </c>
      <c r="M245" s="135">
        <f t="shared" si="108"/>
        <v>0</v>
      </c>
      <c r="N245" s="136">
        <f t="shared" si="109"/>
        <v>0</v>
      </c>
      <c r="O245" s="129" t="e">
        <f t="shared" si="110"/>
        <v>#REF!</v>
      </c>
      <c r="P245" s="137">
        <v>44030</v>
      </c>
      <c r="Q245" s="138"/>
      <c r="R245" s="138"/>
      <c r="S245" s="321"/>
      <c r="U245" s="33" t="s">
        <v>347</v>
      </c>
      <c r="V245" s="16" t="s">
        <v>171</v>
      </c>
      <c r="Y245" s="143" t="s">
        <v>252</v>
      </c>
    </row>
    <row r="246" spans="1:25" hidden="1" x14ac:dyDescent="0.25">
      <c r="A246" s="139" t="e">
        <f>+Purchases!#REF!</f>
        <v>#REF!</v>
      </c>
      <c r="B246" s="127"/>
      <c r="C246" s="128">
        <f>IF(ISERROR(+Purchases!#REF!),0, +Purchases!#REF!)</f>
        <v>0</v>
      </c>
      <c r="D246" s="129" t="s">
        <v>70</v>
      </c>
      <c r="E246" s="130">
        <f>IF(ISERROR(+Purchases!#REF!),0, +Purchases!#REF!)</f>
        <v>0</v>
      </c>
      <c r="F246" s="126">
        <v>1</v>
      </c>
      <c r="G246" s="131">
        <f t="shared" si="104"/>
        <v>0</v>
      </c>
      <c r="H246" s="132" t="e">
        <f>+Purchases!#REF!</f>
        <v>#REF!</v>
      </c>
      <c r="I246" s="133">
        <f t="shared" si="105"/>
        <v>0</v>
      </c>
      <c r="J246" s="134">
        <f t="shared" si="106"/>
        <v>0</v>
      </c>
      <c r="K246" s="126"/>
      <c r="L246" s="132" t="e">
        <f t="shared" si="107"/>
        <v>#REF!</v>
      </c>
      <c r="M246" s="135">
        <f t="shared" si="108"/>
        <v>0</v>
      </c>
      <c r="N246" s="136">
        <f t="shared" si="109"/>
        <v>0</v>
      </c>
      <c r="O246" s="129" t="e">
        <f t="shared" si="110"/>
        <v>#REF!</v>
      </c>
      <c r="P246" s="137">
        <v>44030</v>
      </c>
      <c r="Q246" s="138"/>
      <c r="R246" s="138"/>
      <c r="S246" s="321"/>
      <c r="U246" s="33" t="s">
        <v>347</v>
      </c>
      <c r="V246" s="16" t="s">
        <v>171</v>
      </c>
      <c r="Y246" s="143" t="s">
        <v>252</v>
      </c>
    </row>
    <row r="247" spans="1:25" hidden="1" x14ac:dyDescent="0.25">
      <c r="A247" s="139" t="e">
        <f>+Purchases!#REF!</f>
        <v>#REF!</v>
      </c>
      <c r="B247" s="127"/>
      <c r="C247" s="128">
        <f>IF(ISERROR(+Purchases!#REF!),0, +Purchases!#REF!)</f>
        <v>0</v>
      </c>
      <c r="D247" s="129" t="s">
        <v>70</v>
      </c>
      <c r="E247" s="130">
        <f>IF(ISERROR(+Purchases!#REF!),0, +Purchases!#REF!)</f>
        <v>0</v>
      </c>
      <c r="F247" s="126">
        <v>1</v>
      </c>
      <c r="G247" s="131">
        <f t="shared" si="104"/>
        <v>0</v>
      </c>
      <c r="H247" s="132" t="e">
        <f>+Purchases!#REF!</f>
        <v>#REF!</v>
      </c>
      <c r="I247" s="133">
        <f t="shared" si="105"/>
        <v>0</v>
      </c>
      <c r="J247" s="134">
        <f t="shared" si="106"/>
        <v>0</v>
      </c>
      <c r="K247" s="126"/>
      <c r="L247" s="132" t="e">
        <f t="shared" si="107"/>
        <v>#REF!</v>
      </c>
      <c r="M247" s="135">
        <f t="shared" si="108"/>
        <v>0</v>
      </c>
      <c r="N247" s="136">
        <f t="shared" si="109"/>
        <v>0</v>
      </c>
      <c r="O247" s="129" t="e">
        <f t="shared" si="110"/>
        <v>#REF!</v>
      </c>
      <c r="P247" s="137">
        <v>44030</v>
      </c>
      <c r="Q247" s="138"/>
      <c r="R247" s="138"/>
      <c r="S247" s="321"/>
      <c r="U247" s="33" t="s">
        <v>347</v>
      </c>
      <c r="V247" s="16" t="s">
        <v>171</v>
      </c>
      <c r="Y247" s="143" t="s">
        <v>252</v>
      </c>
    </row>
    <row r="248" spans="1:25" hidden="1" x14ac:dyDescent="0.25">
      <c r="A248" s="139" t="e">
        <f>+Purchases!#REF!</f>
        <v>#REF!</v>
      </c>
      <c r="B248" s="127"/>
      <c r="C248" s="128">
        <f>IF(ISERROR(+Purchases!#REF!),0, +Purchases!#REF!)</f>
        <v>0</v>
      </c>
      <c r="D248" s="129" t="s">
        <v>70</v>
      </c>
      <c r="E248" s="130">
        <f>IF(ISERROR(+Purchases!#REF!),0, +Purchases!#REF!)</f>
        <v>0</v>
      </c>
      <c r="F248" s="126">
        <v>1</v>
      </c>
      <c r="G248" s="131">
        <f t="shared" si="104"/>
        <v>0</v>
      </c>
      <c r="H248" s="132" t="e">
        <f>+Purchases!#REF!</f>
        <v>#REF!</v>
      </c>
      <c r="I248" s="133">
        <f t="shared" si="105"/>
        <v>0</v>
      </c>
      <c r="J248" s="134">
        <f t="shared" si="106"/>
        <v>0</v>
      </c>
      <c r="K248" s="126"/>
      <c r="L248" s="132" t="e">
        <f t="shared" si="107"/>
        <v>#REF!</v>
      </c>
      <c r="M248" s="135">
        <f t="shared" si="108"/>
        <v>0</v>
      </c>
      <c r="N248" s="136">
        <f t="shared" si="109"/>
        <v>0</v>
      </c>
      <c r="O248" s="129" t="e">
        <f t="shared" si="110"/>
        <v>#REF!</v>
      </c>
      <c r="P248" s="137">
        <v>44030</v>
      </c>
      <c r="Q248" s="138"/>
      <c r="R248" s="138"/>
      <c r="S248" s="321"/>
      <c r="U248" s="33" t="s">
        <v>347</v>
      </c>
      <c r="V248" s="16" t="s">
        <v>171</v>
      </c>
      <c r="Y248" s="143" t="s">
        <v>252</v>
      </c>
    </row>
    <row r="249" spans="1:25" hidden="1" x14ac:dyDescent="0.25">
      <c r="A249" s="139" t="e">
        <f>+Purchases!#REF!</f>
        <v>#REF!</v>
      </c>
      <c r="B249" s="127"/>
      <c r="C249" s="128">
        <f>IF(ISERROR(+Purchases!#REF!),0, +Purchases!#REF!)</f>
        <v>0</v>
      </c>
      <c r="D249" s="129" t="s">
        <v>70</v>
      </c>
      <c r="E249" s="130">
        <f>IF(ISERROR(+Purchases!#REF!),0, +Purchases!#REF!)</f>
        <v>0</v>
      </c>
      <c r="F249" s="126">
        <v>1</v>
      </c>
      <c r="G249" s="131">
        <f t="shared" si="104"/>
        <v>0</v>
      </c>
      <c r="H249" s="132" t="e">
        <f>+Purchases!#REF!</f>
        <v>#REF!</v>
      </c>
      <c r="I249" s="133">
        <f t="shared" si="105"/>
        <v>0</v>
      </c>
      <c r="J249" s="134">
        <f t="shared" si="106"/>
        <v>0</v>
      </c>
      <c r="K249" s="126"/>
      <c r="L249" s="132" t="e">
        <f t="shared" ref="L249:L256" si="111">IF( $B$3 = 1,  G249,H249 )</f>
        <v>#REF!</v>
      </c>
      <c r="M249" s="135">
        <f t="shared" ref="M249:M256" si="112">+I249</f>
        <v>0</v>
      </c>
      <c r="N249" s="136">
        <f t="shared" ref="N249:N256" si="113">+J249</f>
        <v>0</v>
      </c>
      <c r="O249" s="129" t="e">
        <f t="shared" si="110"/>
        <v>#REF!</v>
      </c>
      <c r="P249" s="137">
        <v>44030</v>
      </c>
      <c r="Q249" s="138"/>
      <c r="R249" s="138"/>
      <c r="S249" s="321"/>
      <c r="U249" s="33" t="s">
        <v>347</v>
      </c>
      <c r="V249" s="16" t="s">
        <v>171</v>
      </c>
      <c r="Y249" s="143" t="s">
        <v>252</v>
      </c>
    </row>
    <row r="250" spans="1:25" hidden="1" x14ac:dyDescent="0.25">
      <c r="A250" s="139" t="e">
        <f>+Purchases!#REF!</f>
        <v>#REF!</v>
      </c>
      <c r="B250" s="127"/>
      <c r="C250" s="128">
        <f>IF(ISERROR(+Purchases!#REF!),0, +Purchases!#REF!)</f>
        <v>0</v>
      </c>
      <c r="D250" s="129" t="s">
        <v>70</v>
      </c>
      <c r="E250" s="130">
        <f>IF(ISERROR(+Purchases!#REF!),0, +Purchases!#REF!)</f>
        <v>0</v>
      </c>
      <c r="F250" s="126">
        <v>1</v>
      </c>
      <c r="G250" s="131">
        <f t="shared" si="104"/>
        <v>0</v>
      </c>
      <c r="H250" s="132" t="e">
        <f>+Purchases!#REF!</f>
        <v>#REF!</v>
      </c>
      <c r="I250" s="133">
        <f t="shared" si="105"/>
        <v>0</v>
      </c>
      <c r="J250" s="134">
        <f t="shared" si="106"/>
        <v>0</v>
      </c>
      <c r="K250" s="126"/>
      <c r="L250" s="132" t="e">
        <f t="shared" si="111"/>
        <v>#REF!</v>
      </c>
      <c r="M250" s="135">
        <f t="shared" si="112"/>
        <v>0</v>
      </c>
      <c r="N250" s="136">
        <f t="shared" si="113"/>
        <v>0</v>
      </c>
      <c r="O250" s="129" t="e">
        <f t="shared" si="110"/>
        <v>#REF!</v>
      </c>
      <c r="P250" s="137">
        <v>44030</v>
      </c>
      <c r="Q250" s="138"/>
      <c r="R250" s="138"/>
      <c r="S250" s="321"/>
      <c r="U250" s="33" t="s">
        <v>347</v>
      </c>
      <c r="V250" s="16" t="s">
        <v>171</v>
      </c>
      <c r="Y250" s="143" t="s">
        <v>252</v>
      </c>
    </row>
    <row r="251" spans="1:25" hidden="1" x14ac:dyDescent="0.25">
      <c r="A251" s="139" t="e">
        <f>+Purchases!#REF!</f>
        <v>#REF!</v>
      </c>
      <c r="B251" s="127"/>
      <c r="C251" s="128">
        <f>IF(ISERROR(+Purchases!#REF!),0, +Purchases!#REF!)</f>
        <v>0</v>
      </c>
      <c r="D251" s="129" t="s">
        <v>70</v>
      </c>
      <c r="E251" s="130">
        <f>IF(ISERROR(+Purchases!#REF!),0, +Purchases!#REF!)</f>
        <v>0</v>
      </c>
      <c r="F251" s="126">
        <v>1</v>
      </c>
      <c r="G251" s="131">
        <f t="shared" si="104"/>
        <v>0</v>
      </c>
      <c r="H251" s="132" t="e">
        <f>+Purchases!#REF!</f>
        <v>#REF!</v>
      </c>
      <c r="I251" s="133">
        <f t="shared" si="105"/>
        <v>0</v>
      </c>
      <c r="J251" s="134">
        <f t="shared" si="106"/>
        <v>0</v>
      </c>
      <c r="K251" s="126"/>
      <c r="L251" s="132" t="e">
        <f t="shared" si="111"/>
        <v>#REF!</v>
      </c>
      <c r="M251" s="135">
        <f t="shared" si="112"/>
        <v>0</v>
      </c>
      <c r="N251" s="136">
        <f t="shared" si="113"/>
        <v>0</v>
      </c>
      <c r="O251" s="129" t="e">
        <f t="shared" si="110"/>
        <v>#REF!</v>
      </c>
      <c r="P251" s="137">
        <v>44030</v>
      </c>
      <c r="Q251" s="138"/>
      <c r="R251" s="138"/>
      <c r="S251" s="321"/>
      <c r="U251" s="33" t="s">
        <v>347</v>
      </c>
      <c r="V251" s="16" t="s">
        <v>171</v>
      </c>
      <c r="Y251" s="143" t="s">
        <v>252</v>
      </c>
    </row>
    <row r="252" spans="1:25" hidden="1" x14ac:dyDescent="0.25">
      <c r="A252" s="139" t="e">
        <f>+Purchases!#REF!</f>
        <v>#REF!</v>
      </c>
      <c r="B252" s="127"/>
      <c r="C252" s="128">
        <f>IF(ISERROR(+Purchases!#REF!),0, +Purchases!#REF!)</f>
        <v>0</v>
      </c>
      <c r="D252" s="129" t="s">
        <v>70</v>
      </c>
      <c r="E252" s="130">
        <f>IF(ISERROR(+Purchases!#REF!),0, +Purchases!#REF!)</f>
        <v>0</v>
      </c>
      <c r="F252" s="126">
        <v>1</v>
      </c>
      <c r="G252" s="131">
        <f t="shared" si="104"/>
        <v>0</v>
      </c>
      <c r="H252" s="132"/>
      <c r="I252" s="133">
        <f t="shared" si="105"/>
        <v>0</v>
      </c>
      <c r="J252" s="134">
        <f t="shared" si="106"/>
        <v>0</v>
      </c>
      <c r="K252" s="126"/>
      <c r="L252" s="132">
        <f t="shared" si="111"/>
        <v>0</v>
      </c>
      <c r="M252" s="135">
        <f t="shared" si="112"/>
        <v>0</v>
      </c>
      <c r="N252" s="136">
        <f t="shared" si="113"/>
        <v>0</v>
      </c>
      <c r="O252" s="129" t="e">
        <f t="shared" si="110"/>
        <v>#REF!</v>
      </c>
      <c r="P252" s="137">
        <v>44030</v>
      </c>
      <c r="Q252" s="138"/>
      <c r="R252" s="138"/>
      <c r="S252" s="321"/>
      <c r="U252" s="33" t="s">
        <v>347</v>
      </c>
      <c r="V252" s="16" t="s">
        <v>171</v>
      </c>
      <c r="Y252" s="143" t="s">
        <v>252</v>
      </c>
    </row>
    <row r="253" spans="1:25" hidden="1" x14ac:dyDescent="0.25">
      <c r="A253" s="139" t="e">
        <f>+Purchases!#REF!</f>
        <v>#REF!</v>
      </c>
      <c r="B253" s="127"/>
      <c r="C253" s="128">
        <f>IF(ISERROR(+Purchases!#REF!),0, +Purchases!#REF!)</f>
        <v>0</v>
      </c>
      <c r="D253" s="129" t="s">
        <v>70</v>
      </c>
      <c r="E253" s="130">
        <f>IF(ISERROR(+Purchases!#REF!),0, +Purchases!#REF!)</f>
        <v>0</v>
      </c>
      <c r="F253" s="126">
        <v>1</v>
      </c>
      <c r="G253" s="131">
        <f t="shared" si="104"/>
        <v>0</v>
      </c>
      <c r="H253" s="132"/>
      <c r="I253" s="133">
        <f t="shared" si="105"/>
        <v>0</v>
      </c>
      <c r="J253" s="134">
        <f t="shared" si="106"/>
        <v>0</v>
      </c>
      <c r="K253" s="126"/>
      <c r="L253" s="132">
        <f t="shared" si="111"/>
        <v>0</v>
      </c>
      <c r="M253" s="135">
        <f t="shared" si="112"/>
        <v>0</v>
      </c>
      <c r="N253" s="136">
        <f t="shared" si="113"/>
        <v>0</v>
      </c>
      <c r="O253" s="129" t="e">
        <f t="shared" si="110"/>
        <v>#REF!</v>
      </c>
      <c r="P253" s="137">
        <v>44030</v>
      </c>
      <c r="Q253" s="138"/>
      <c r="R253" s="138"/>
      <c r="S253" s="321"/>
      <c r="U253" s="33" t="s">
        <v>347</v>
      </c>
      <c r="V253" s="16" t="s">
        <v>171</v>
      </c>
      <c r="Y253" s="143" t="s">
        <v>252</v>
      </c>
    </row>
    <row r="254" spans="1:25" hidden="1" x14ac:dyDescent="0.25">
      <c r="A254" s="139" t="e">
        <f>+Purchases!#REF!</f>
        <v>#REF!</v>
      </c>
      <c r="B254" s="127"/>
      <c r="C254" s="128">
        <f>IF(ISERROR(+Purchases!#REF!),0, +Purchases!#REF!)</f>
        <v>0</v>
      </c>
      <c r="D254" s="129" t="s">
        <v>70</v>
      </c>
      <c r="E254" s="130">
        <f>IF(ISERROR(+Purchases!#REF!),0, +Purchases!#REF!)</f>
        <v>0</v>
      </c>
      <c r="F254" s="126">
        <v>1</v>
      </c>
      <c r="G254" s="131">
        <f t="shared" si="104"/>
        <v>0</v>
      </c>
      <c r="H254" s="132"/>
      <c r="I254" s="133">
        <f t="shared" si="105"/>
        <v>0</v>
      </c>
      <c r="J254" s="134">
        <f t="shared" si="106"/>
        <v>0</v>
      </c>
      <c r="K254" s="126"/>
      <c r="L254" s="132">
        <f t="shared" si="111"/>
        <v>0</v>
      </c>
      <c r="M254" s="135">
        <f t="shared" si="112"/>
        <v>0</v>
      </c>
      <c r="N254" s="136">
        <f t="shared" si="113"/>
        <v>0</v>
      </c>
      <c r="O254" s="129" t="e">
        <f t="shared" si="110"/>
        <v>#REF!</v>
      </c>
      <c r="P254" s="137">
        <v>44030</v>
      </c>
      <c r="Q254" s="138"/>
      <c r="R254" s="138"/>
      <c r="S254" s="321"/>
      <c r="U254" s="33" t="s">
        <v>347</v>
      </c>
      <c r="V254" s="16" t="s">
        <v>171</v>
      </c>
      <c r="Y254" s="143" t="s">
        <v>252</v>
      </c>
    </row>
    <row r="255" spans="1:25" hidden="1" x14ac:dyDescent="0.25">
      <c r="A255" s="139" t="e">
        <f>+Purchases!#REF!</f>
        <v>#REF!</v>
      </c>
      <c r="B255" s="127"/>
      <c r="C255" s="128">
        <f>IF(ISERROR(+Purchases!#REF!),0, +Purchases!#REF!)</f>
        <v>0</v>
      </c>
      <c r="D255" s="129" t="s">
        <v>70</v>
      </c>
      <c r="E255" s="130">
        <f>IF(ISERROR(+Purchases!#REF!),0, +Purchases!#REF!)</f>
        <v>0</v>
      </c>
      <c r="F255" s="126">
        <v>1</v>
      </c>
      <c r="G255" s="131">
        <f t="shared" si="104"/>
        <v>0</v>
      </c>
      <c r="H255" s="132"/>
      <c r="I255" s="133">
        <f t="shared" si="105"/>
        <v>0</v>
      </c>
      <c r="J255" s="134">
        <f t="shared" si="106"/>
        <v>0</v>
      </c>
      <c r="K255" s="126"/>
      <c r="L255" s="132">
        <f t="shared" si="111"/>
        <v>0</v>
      </c>
      <c r="M255" s="135">
        <f t="shared" si="112"/>
        <v>0</v>
      </c>
      <c r="N255" s="136">
        <f t="shared" si="113"/>
        <v>0</v>
      </c>
      <c r="O255" s="129" t="e">
        <f t="shared" si="110"/>
        <v>#REF!</v>
      </c>
      <c r="P255" s="137">
        <v>44030</v>
      </c>
      <c r="Q255" s="138"/>
      <c r="R255" s="138"/>
      <c r="S255" s="321"/>
      <c r="U255" s="33" t="s">
        <v>347</v>
      </c>
      <c r="V255" s="16" t="s">
        <v>171</v>
      </c>
      <c r="Y255" s="143" t="s">
        <v>252</v>
      </c>
    </row>
    <row r="256" spans="1:25" hidden="1" x14ac:dyDescent="0.25">
      <c r="A256" s="139" t="e">
        <f>+Purchases!#REF!</f>
        <v>#REF!</v>
      </c>
      <c r="B256" s="127"/>
      <c r="C256" s="128">
        <f>IF(ISERROR(+Purchases!#REF!),0, +Purchases!#REF!)</f>
        <v>0</v>
      </c>
      <c r="D256" s="129" t="s">
        <v>70</v>
      </c>
      <c r="E256" s="130">
        <f>IF(ISERROR(+Purchases!#REF!),0, +Purchases!#REF!)</f>
        <v>0</v>
      </c>
      <c r="F256" s="126">
        <v>1</v>
      </c>
      <c r="G256" s="131">
        <f t="shared" si="104"/>
        <v>0</v>
      </c>
      <c r="H256" s="132"/>
      <c r="I256" s="133">
        <f t="shared" si="105"/>
        <v>0</v>
      </c>
      <c r="J256" s="134">
        <f t="shared" si="106"/>
        <v>0</v>
      </c>
      <c r="K256" s="126"/>
      <c r="L256" s="132">
        <f t="shared" si="111"/>
        <v>0</v>
      </c>
      <c r="M256" s="135">
        <f t="shared" si="112"/>
        <v>0</v>
      </c>
      <c r="N256" s="136">
        <f t="shared" si="113"/>
        <v>0</v>
      </c>
      <c r="O256" s="129" t="e">
        <f t="shared" si="110"/>
        <v>#REF!</v>
      </c>
      <c r="P256" s="137">
        <v>44030</v>
      </c>
      <c r="Q256" s="138"/>
      <c r="R256" s="138"/>
      <c r="S256" s="321"/>
      <c r="U256" s="33" t="s">
        <v>347</v>
      </c>
      <c r="V256" s="16" t="s">
        <v>171</v>
      </c>
      <c r="Y256" s="143" t="s">
        <v>252</v>
      </c>
    </row>
    <row r="257" spans="1:5" hidden="1" x14ac:dyDescent="0.25">
      <c r="A257" s="16" t="s">
        <v>305</v>
      </c>
    </row>
    <row r="258" spans="1:5" hidden="1" x14ac:dyDescent="0.25">
      <c r="A258" s="830" t="s">
        <v>304</v>
      </c>
      <c r="B258" s="831">
        <f>IF(Pkge!$L$135&gt;=  100, IF($E258 &gt;= 100, IF(Pkge!$L$135 &gt;= $E258, $E258, Pkge!$L$135),0),0)</f>
        <v>0</v>
      </c>
    </row>
    <row r="259" spans="1:5" x14ac:dyDescent="0.25">
      <c r="A259" s="413" t="s">
        <v>419</v>
      </c>
      <c r="B259" s="557"/>
      <c r="C259" s="414" t="s">
        <v>126</v>
      </c>
      <c r="E259" s="240"/>
    </row>
    <row r="260" spans="1:5" x14ac:dyDescent="0.25">
      <c r="B260" s="555">
        <v>110</v>
      </c>
      <c r="C260" s="414" t="s">
        <v>447</v>
      </c>
    </row>
    <row r="261" spans="1:5" x14ac:dyDescent="0.25">
      <c r="B261" s="407"/>
      <c r="C261" s="415" t="s">
        <v>438</v>
      </c>
    </row>
    <row r="262" spans="1:5" x14ac:dyDescent="0.25">
      <c r="B262" s="406"/>
      <c r="C262" s="415" t="s">
        <v>446</v>
      </c>
    </row>
  </sheetData>
  <sheetProtection algorithmName="SHA-512" hashValue="UB6tr0YdlPyvsl37P1L49LD8dPYVmvvrWnICvBYAa71rJiEBa0iK/LZTQvbMbHSJc1e+VIb65MEC/zpMMYnA6g==" saltValue="SdTe5Kvl0QDwdsXwKWoFQA==" spinCount="100000" sheet="1" objects="1" scenarios="1"/>
  <mergeCells count="4">
    <mergeCell ref="G1:G2"/>
    <mergeCell ref="H1:H2"/>
    <mergeCell ref="J1:J2"/>
    <mergeCell ref="A258:B258"/>
  </mergeCells>
  <phoneticPr fontId="51" type="noConversion"/>
  <pageMargins left="0.7" right="0.7" top="0.75" bottom="0.75" header="0.3" footer="0.3"/>
  <pageSetup orientation="portrait" horizontalDpi="4294967293" verticalDpi="300" r:id="rId1"/>
  <headerFooter>
    <oddFooter>&amp;R_x000D_&amp;1#&amp;"Calibri"&amp;22&amp;KFF8939 RESTRICTED</oddFooter>
  </headerFooter>
  <ignoredErrors>
    <ignoredError sqref="I8 I49 J84 O11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CC51F1EC3A4A4E80532A5277B68116" ma:contentTypeVersion="11" ma:contentTypeDescription="Create a new document." ma:contentTypeScope="" ma:versionID="f5645984d61bf98b3857c9a35adf7fd1">
  <xsd:schema xmlns:xsd="http://www.w3.org/2001/XMLSchema" xmlns:xs="http://www.w3.org/2001/XMLSchema" xmlns:p="http://schemas.microsoft.com/office/2006/metadata/properties" xmlns:ns1="http://schemas.microsoft.com/sharepoint/v3" xmlns:ns2="1a4d292e-883c-434b-96e3-060cfff16c86" xmlns:ns3="49c5d66d-05b9-4391-8332-821a8e35546a" targetNamespace="http://schemas.microsoft.com/office/2006/metadata/properties" ma:root="true" ma:fieldsID="7a5a59660ceaf21daff16d0ecb5d1417" ns1:_="" ns2:_="" ns3:_="">
    <xsd:import namespace="http://schemas.microsoft.com/sharepoint/v3"/>
    <xsd:import namespace="1a4d292e-883c-434b-96e3-060cfff16c86"/>
    <xsd:import namespace="49c5d66d-05b9-4391-8332-821a8e35546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1:_dlc_Exempt" minOccurs="0"/>
                <xsd:element ref="ns1:_dlc_ExpireDateSaved" minOccurs="0"/>
                <xsd:element ref="ns1:_dlc_ExpireDat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0" nillable="true" ma:displayName="Exempt from Policy" ma:hidden="true" ma:internalName="_dlc_Exempt" ma:readOnly="false">
      <xsd:simpleType>
        <xsd:restriction base="dms:Unknown"/>
      </xsd:simpleType>
    </xsd:element>
    <xsd:element name="_dlc_ExpireDateSaved" ma:index="11" nillable="true" ma:displayName="Original Expiration Date" ma:hidden="true" ma:internalName="_dlc_ExpireDateSaved" ma:readOnly="false">
      <xsd:simpleType>
        <xsd:restriction base="dms:DateTime"/>
      </xsd:simpleType>
    </xsd:element>
    <xsd:element name="_dlc_ExpireDate" ma:index="12" nillable="true" ma:displayName="Expiration Date" ma:hidden="true" ma:internalName="_dlc_Expire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4d292e-883c-434b-96e3-060cfff16c86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afc3c8c4-0109-457f-8caf-cadde1ea235c}" ma:internalName="TaxCatchAll" ma:showField="CatchAllData" ma:web="72adfb33-1247-410e-aaeb-41f12124cb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afc3c8c4-0109-457f-8caf-cadde1ea235c}" ma:internalName="TaxCatchAllLabel" ma:readOnly="true" ma:showField="CatchAllDataLabel" ma:web="72adfb33-1247-410e-aaeb-41f12124cb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5d66d-05b9-4391-8332-821a8e3554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4d292e-883c-434b-96e3-060cfff16c86" xsi:nil="true"/>
    <_dlc_ExpireDateSaved xmlns="http://schemas.microsoft.com/sharepoint/v3" xsi:nil="true"/>
    <_dlc_ExpireDate xmlns="http://schemas.microsoft.com/sharepoint/v3" xsi:nil="true"/>
    <_dlc_Exempt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7bc43322-b630-4bac-8b27-31def233d1d0" ContentTypeId="0x0101" PreviousValue="false"/>
</file>

<file path=customXml/itemProps1.xml><?xml version="1.0" encoding="utf-8"?>
<ds:datastoreItem xmlns:ds="http://schemas.openxmlformats.org/officeDocument/2006/customXml" ds:itemID="{70047E95-252E-4331-A0F2-01A07C1A7C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a4d292e-883c-434b-96e3-060cfff16c86"/>
    <ds:schemaRef ds:uri="49c5d66d-05b9-4391-8332-821a8e3554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E2FE53-6985-41FD-89B7-FC5B9C1C3DA2}">
  <ds:schemaRefs>
    <ds:schemaRef ds:uri="http://schemas.microsoft.com/office/2006/metadata/properties"/>
    <ds:schemaRef ds:uri="http://schemas.microsoft.com/office/infopath/2007/PartnerControls"/>
    <ds:schemaRef ds:uri="1a4d292e-883c-434b-96e3-060cfff16c86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636871F-B59B-46BC-AA45-4FCD1F1DDE1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86E6900-671B-40EC-985D-A115E0B42976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Disclaimer</vt:lpstr>
      <vt:lpstr>Purchases</vt:lpstr>
      <vt:lpstr>Rebate_Summary</vt:lpstr>
      <vt:lpstr>Acre Conversion</vt:lpstr>
      <vt:lpstr>Program Rules</vt:lpstr>
      <vt:lpstr>Pkge</vt:lpstr>
      <vt:lpstr>Rebate_Summary!Print_Area</vt:lpstr>
    </vt:vector>
  </TitlesOfParts>
  <Company>Holovach Consulting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 Holovach</dc:creator>
  <cp:lastModifiedBy>Tiffany Gogowich</cp:lastModifiedBy>
  <cp:lastPrinted>2026-01-20T13:35:23Z</cp:lastPrinted>
  <dcterms:created xsi:type="dcterms:W3CDTF">2018-12-18T03:59:17Z</dcterms:created>
  <dcterms:modified xsi:type="dcterms:W3CDTF">2026-02-06T17:33:35Z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0x0101003ACC51F1EC3A4A4E80532A5277B68116</vt:lpwstr>
  </property>
  <property fmtid="{D5CDD505-2E9C-101B-9397-08002B2CF9AE}" pid="3" name="MSIP_Label_2c76c141-ac86-40e5-abf2-c6f60e474cee_Enabled">
    <vt:lpwstr>true</vt:lpwstr>
  </property>
  <property fmtid="{D5CDD505-2E9C-101B-9397-08002B2CF9AE}" pid="4" name="MSIP_Label_2c76c141-ac86-40e5-abf2-c6f60e474cee_SetDate">
    <vt:lpwstr>2026-02-06T17:32:42Z</vt:lpwstr>
  </property>
  <property fmtid="{D5CDD505-2E9C-101B-9397-08002B2CF9AE}" pid="5" name="MSIP_Label_2c76c141-ac86-40e5-abf2-c6f60e474cee_Method">
    <vt:lpwstr>Standard</vt:lpwstr>
  </property>
  <property fmtid="{D5CDD505-2E9C-101B-9397-08002B2CF9AE}" pid="6" name="MSIP_Label_2c76c141-ac86-40e5-abf2-c6f60e474cee_Name">
    <vt:lpwstr>2c76c141-ac86-40e5-abf2-c6f60e474cee</vt:lpwstr>
  </property>
  <property fmtid="{D5CDD505-2E9C-101B-9397-08002B2CF9AE}" pid="7" name="MSIP_Label_2c76c141-ac86-40e5-abf2-c6f60e474cee_SiteId">
    <vt:lpwstr>fcb2b37b-5da0-466b-9b83-0014b67a7c78</vt:lpwstr>
  </property>
  <property fmtid="{D5CDD505-2E9C-101B-9397-08002B2CF9AE}" pid="8" name="MSIP_Label_2c76c141-ac86-40e5-abf2-c6f60e474cee_ActionId">
    <vt:lpwstr>94ef3255-d578-4f5b-89a8-056dec5f4b0c</vt:lpwstr>
  </property>
  <property fmtid="{D5CDD505-2E9C-101B-9397-08002B2CF9AE}" pid="9" name="MSIP_Label_2c76c141-ac86-40e5-abf2-c6f60e474cee_ContentBits">
    <vt:lpwstr>2</vt:lpwstr>
  </property>
</Properties>
</file>